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defaultThemeVersion="124226"/>
  <workbookProtection lockStructure="1"/>
  <bookViews>
    <workbookView xWindow="0" yWindow="0" windowWidth="20490" windowHeight="7755" tabRatio="721" firstSheet="2" activeTab="2"/>
  </bookViews>
  <sheets>
    <sheet name="Instructions" sheetId="1" r:id="rId1"/>
    <sheet name="Input Summary" sheetId="10" state="hidden" r:id="rId2"/>
    <sheet name="Development by Block" sheetId="2" r:id="rId3"/>
    <sheet name="Use Allocation" sheetId="3" r:id="rId4"/>
    <sheet name="Costs" sheetId="4" r:id="rId5"/>
    <sheet name="Jobs" sheetId="5" r:id="rId6"/>
    <sheet name="Market" sheetId="6" r:id="rId7"/>
    <sheet name="Value" sheetId="7" r:id="rId8"/>
    <sheet name="City Revenue" sheetId="8" r:id="rId9"/>
    <sheet name="Summary" sheetId="9" r:id="rId10"/>
  </sheets>
  <definedNames>
    <definedName name="_xlnm.Print_Area" localSheetId="8">'City Revenue'!$A$1:$J$49</definedName>
    <definedName name="_xlnm.Print_Area" localSheetId="4">Costs!$A$1:$K$87</definedName>
    <definedName name="_xlnm.Print_Area" localSheetId="1">'Input Summary'!$A$1:$C$170</definedName>
    <definedName name="_xlnm.Print_Area" localSheetId="6">Market!$A$1:$O$65</definedName>
    <definedName name="_xlnm.Print_Area" localSheetId="9">Summary!$A$1:$H$73</definedName>
    <definedName name="_xlnm.Print_Area" localSheetId="3">'Use Allocation'!$A$1:$O$56</definedName>
    <definedName name="_xlnm.Print_Area" localSheetId="7">Value!$A$1:$N$81</definedName>
  </definedNames>
  <calcPr calcId="145621" calcMode="autoNoTable" calcOnSave="0"/>
</workbook>
</file>

<file path=xl/calcChain.xml><?xml version="1.0" encoding="utf-8"?>
<calcChain xmlns="http://schemas.openxmlformats.org/spreadsheetml/2006/main">
  <c r="D4" i="9" l="1"/>
  <c r="C168" i="10" l="1"/>
  <c r="C167" i="10"/>
  <c r="C166" i="10"/>
  <c r="C161" i="10"/>
  <c r="C160" i="10"/>
  <c r="C159" i="10"/>
  <c r="C158" i="10"/>
  <c r="C157" i="10"/>
  <c r="C156" i="10"/>
  <c r="C155" i="10"/>
  <c r="C154" i="10"/>
  <c r="C153" i="10"/>
  <c r="C152" i="10"/>
  <c r="C151" i="10"/>
  <c r="C150" i="10"/>
  <c r="C149" i="10"/>
  <c r="C148" i="10"/>
  <c r="C144" i="10"/>
  <c r="C143" i="10"/>
  <c r="C138" i="10"/>
  <c r="C137" i="10"/>
  <c r="C133" i="10"/>
  <c r="C132" i="10"/>
  <c r="C131" i="10"/>
  <c r="C124" i="10"/>
  <c r="C123" i="10"/>
  <c r="C121" i="10"/>
  <c r="C120" i="10"/>
  <c r="C119" i="10"/>
  <c r="C117" i="10"/>
  <c r="C116" i="10"/>
  <c r="C115" i="10"/>
  <c r="C114" i="10"/>
  <c r="C111" i="10"/>
  <c r="C110" i="10"/>
  <c r="C109" i="10"/>
  <c r="C102" i="10"/>
  <c r="C101" i="10"/>
  <c r="C99" i="10"/>
  <c r="C98" i="10"/>
  <c r="C97" i="10"/>
  <c r="C95" i="10"/>
  <c r="C94" i="10"/>
  <c r="C93" i="10"/>
  <c r="C92" i="10"/>
  <c r="C89" i="10"/>
  <c r="C88" i="10"/>
  <c r="C87" i="10"/>
  <c r="C85" i="10"/>
  <c r="C80" i="10"/>
  <c r="C79" i="10"/>
  <c r="C77" i="10"/>
  <c r="C76" i="10"/>
  <c r="C75" i="10"/>
  <c r="C73" i="10"/>
  <c r="C72" i="10"/>
  <c r="C71" i="10"/>
  <c r="C70" i="10"/>
  <c r="C67" i="10"/>
  <c r="C66" i="10"/>
  <c r="C65" i="10"/>
  <c r="C58" i="10"/>
  <c r="C57" i="10"/>
  <c r="C55" i="10"/>
  <c r="C54" i="10"/>
  <c r="C53" i="10"/>
  <c r="C51" i="10"/>
  <c r="C50" i="10"/>
  <c r="C49" i="10"/>
  <c r="C48" i="10"/>
  <c r="C45" i="10"/>
  <c r="C44" i="10"/>
  <c r="C43" i="10"/>
  <c r="C39" i="10"/>
  <c r="C37" i="10"/>
  <c r="C36" i="10"/>
  <c r="C35" i="10"/>
  <c r="C33" i="10"/>
  <c r="C32" i="10"/>
  <c r="C31" i="10"/>
  <c r="C29" i="10"/>
  <c r="C28" i="10"/>
  <c r="C27" i="10"/>
  <c r="C26" i="10"/>
  <c r="C23" i="10"/>
  <c r="C22" i="10"/>
  <c r="C21" i="10"/>
  <c r="C15" i="10"/>
  <c r="C14" i="10"/>
  <c r="C13" i="10"/>
  <c r="C11" i="10"/>
  <c r="C10" i="10"/>
  <c r="C9" i="10"/>
  <c r="C7" i="10"/>
  <c r="C6" i="10"/>
  <c r="C5" i="10"/>
  <c r="C4" i="10"/>
  <c r="C26" i="8" l="1"/>
  <c r="C26" i="4"/>
  <c r="C41" i="9"/>
  <c r="AA13" i="2" l="1"/>
  <c r="AB13" i="2" s="1"/>
  <c r="W13" i="2"/>
  <c r="X13" i="2" s="1"/>
  <c r="S13" i="2"/>
  <c r="T13" i="2" s="1"/>
  <c r="O13" i="2"/>
  <c r="P13" i="2" s="1"/>
  <c r="K13" i="2"/>
  <c r="L13" i="2" s="1"/>
  <c r="G13" i="2"/>
  <c r="AB29" i="2"/>
  <c r="X29" i="2"/>
  <c r="T29" i="2"/>
  <c r="P29" i="2"/>
  <c r="L29" i="2"/>
  <c r="H29" i="2"/>
  <c r="AE29" i="2" l="1"/>
  <c r="K37" i="8"/>
  <c r="F34" i="8"/>
  <c r="C33" i="8"/>
  <c r="P29" i="7"/>
  <c r="P30" i="7"/>
  <c r="P31" i="7"/>
  <c r="P32" i="7"/>
  <c r="C33" i="6"/>
  <c r="C36" i="4"/>
  <c r="C36" i="7" s="1"/>
  <c r="G36" i="7" s="1"/>
  <c r="D7" i="4" l="1"/>
  <c r="D5" i="4"/>
  <c r="Q7" i="7"/>
  <c r="E26" i="7" l="1"/>
  <c r="M29" i="8" l="1"/>
  <c r="K29" i="8"/>
  <c r="E28" i="7" l="1"/>
  <c r="E28" i="8" s="1"/>
  <c r="E27" i="7"/>
  <c r="E17" i="7" l="1"/>
  <c r="E16" i="7"/>
  <c r="E15" i="7"/>
  <c r="C48" i="9" l="1"/>
  <c r="I46" i="8" l="1"/>
  <c r="G16" i="9" s="1"/>
  <c r="AA17" i="2" l="1"/>
  <c r="P18" i="2"/>
  <c r="W17" i="2" l="1"/>
  <c r="S17" i="2"/>
  <c r="O17" i="2"/>
  <c r="E14" i="7" l="1"/>
  <c r="K41" i="8"/>
  <c r="K40" i="8"/>
  <c r="K39" i="8"/>
  <c r="K38" i="8"/>
  <c r="K36" i="8"/>
  <c r="K35" i="8"/>
  <c r="E27" i="8"/>
  <c r="E26" i="8"/>
  <c r="K28" i="8"/>
  <c r="K27" i="8"/>
  <c r="K26" i="8"/>
  <c r="K25" i="8"/>
  <c r="K24" i="8" l="1"/>
  <c r="K23" i="8"/>
  <c r="K22" i="8"/>
  <c r="K21" i="8"/>
  <c r="K20" i="8"/>
  <c r="K19" i="8"/>
  <c r="K18" i="8"/>
  <c r="M12" i="8"/>
  <c r="M18" i="8" s="1"/>
  <c r="M25" i="8" s="1"/>
  <c r="M35" i="8" s="1"/>
  <c r="L12" i="8"/>
  <c r="L18" i="8" s="1"/>
  <c r="L25" i="8" s="1"/>
  <c r="L35" i="8" s="1"/>
  <c r="L14" i="8"/>
  <c r="L15" i="8" s="1"/>
  <c r="L16" i="8" s="1"/>
  <c r="L17" i="8" s="1"/>
  <c r="L20" i="8" s="1"/>
  <c r="K17" i="8"/>
  <c r="K16" i="8"/>
  <c r="K15" i="8"/>
  <c r="K14" i="8"/>
  <c r="K13" i="8"/>
  <c r="E11" i="8"/>
  <c r="E10" i="8"/>
  <c r="K11" i="8"/>
  <c r="K10" i="8"/>
  <c r="K9" i="8"/>
  <c r="K8" i="8"/>
  <c r="K7" i="8"/>
  <c r="K6" i="8"/>
  <c r="K5" i="8"/>
  <c r="K4" i="8"/>
  <c r="E24" i="7"/>
  <c r="E24" i="8" s="1"/>
  <c r="E23" i="7"/>
  <c r="E23" i="8" s="1"/>
  <c r="E22" i="7"/>
  <c r="E22" i="8" s="1"/>
  <c r="E21" i="7"/>
  <c r="E21" i="8" s="1"/>
  <c r="E20" i="7"/>
  <c r="E9" i="7"/>
  <c r="E9" i="8" s="1"/>
  <c r="E7" i="7"/>
  <c r="E7" i="8" s="1"/>
  <c r="P28" i="7"/>
  <c r="P27" i="7"/>
  <c r="P26" i="7"/>
  <c r="P25" i="7"/>
  <c r="P24" i="7"/>
  <c r="P23" i="7"/>
  <c r="P22" i="7"/>
  <c r="P21" i="7"/>
  <c r="P20" i="7"/>
  <c r="P19" i="7"/>
  <c r="P18" i="7"/>
  <c r="P17" i="7"/>
  <c r="P16" i="7"/>
  <c r="P15" i="7"/>
  <c r="P14" i="7"/>
  <c r="P13" i="7"/>
  <c r="P12" i="7"/>
  <c r="P11" i="7"/>
  <c r="P10" i="7"/>
  <c r="P9" i="7"/>
  <c r="P8" i="7"/>
  <c r="P7" i="7"/>
  <c r="P6" i="7"/>
  <c r="P5" i="7"/>
  <c r="P4" i="7"/>
  <c r="E16" i="8" l="1"/>
  <c r="E20" i="8"/>
  <c r="E17" i="8"/>
  <c r="D38" i="3"/>
  <c r="AD18" i="2"/>
  <c r="AE18" i="2"/>
  <c r="C12" i="6" l="1"/>
  <c r="E13" i="7" l="1"/>
  <c r="E13" i="8" s="1"/>
  <c r="D34" i="9" l="1"/>
  <c r="D36" i="9"/>
  <c r="D35" i="9"/>
  <c r="C24" i="4"/>
  <c r="C36" i="9" s="1"/>
  <c r="C16" i="5" l="1"/>
  <c r="C35" i="4" l="1"/>
  <c r="C35" i="8" s="1"/>
  <c r="C29" i="4"/>
  <c r="C29" i="7" s="1"/>
  <c r="C32" i="6"/>
  <c r="C28" i="6"/>
  <c r="C24" i="6"/>
  <c r="C18" i="6"/>
  <c r="B34" i="7"/>
  <c r="C33" i="7"/>
  <c r="C25" i="7"/>
  <c r="E19" i="7"/>
  <c r="E19" i="8" s="1"/>
  <c r="C18" i="7"/>
  <c r="E14" i="8"/>
  <c r="E8" i="7"/>
  <c r="E8" i="8" s="1"/>
  <c r="E6" i="7"/>
  <c r="E6" i="8" s="1"/>
  <c r="E5" i="7"/>
  <c r="E5" i="8" s="1"/>
  <c r="I44" i="8"/>
  <c r="G15" i="9" s="1"/>
  <c r="C25" i="8"/>
  <c r="C18" i="8"/>
  <c r="G7" i="9"/>
  <c r="F16" i="5"/>
  <c r="G34" i="8"/>
  <c r="I34" i="8" s="1"/>
  <c r="M44" i="7"/>
  <c r="M42" i="7"/>
  <c r="G34" i="7"/>
  <c r="B34" i="8" l="1"/>
  <c r="C29" i="8"/>
  <c r="E15" i="8"/>
  <c r="C35" i="7"/>
  <c r="C23" i="6"/>
  <c r="C24" i="8" l="1"/>
  <c r="F24" i="8" s="1"/>
  <c r="C24" i="7"/>
  <c r="G24" i="7" s="1"/>
  <c r="F24" i="4"/>
  <c r="G24" i="8" l="1"/>
  <c r="I24" i="8" s="1"/>
  <c r="J24" i="4"/>
  <c r="I24" i="7" s="1"/>
  <c r="M24" i="7" s="1"/>
  <c r="O24" i="7" s="1"/>
  <c r="C36" i="8" l="1"/>
  <c r="F36" i="8" s="1"/>
  <c r="G36" i="8" s="1"/>
  <c r="I36" i="8" s="1"/>
  <c r="F36" i="4"/>
  <c r="I36" i="7" s="1"/>
  <c r="M36" i="7" s="1"/>
  <c r="C66" i="9"/>
  <c r="J36" i="4" l="1"/>
  <c r="C19" i="5" l="1"/>
  <c r="F19" i="5" s="1"/>
  <c r="E8" i="3"/>
  <c r="G8" i="3" s="1"/>
  <c r="E7" i="3"/>
  <c r="G7" i="3" s="1"/>
  <c r="W7" i="2"/>
  <c r="X7" i="2" s="1"/>
  <c r="S4" i="2"/>
  <c r="T4" i="2" s="1"/>
  <c r="G4" i="2"/>
  <c r="H4" i="2" s="1"/>
  <c r="AA4" i="2"/>
  <c r="AC4" i="2" s="1"/>
  <c r="O4" i="2"/>
  <c r="P4" i="2" s="1"/>
  <c r="O23" i="2"/>
  <c r="P23" i="2" s="1"/>
  <c r="S5" i="2"/>
  <c r="K11" i="2"/>
  <c r="L11" i="2" s="1"/>
  <c r="G22" i="2"/>
  <c r="O9" i="2"/>
  <c r="P9" i="2" s="1"/>
  <c r="S19" i="2"/>
  <c r="T19" i="2"/>
  <c r="G9" i="2"/>
  <c r="H9" i="2" s="1"/>
  <c r="W5" i="2"/>
  <c r="K22" i="2"/>
  <c r="L22" i="2" s="1"/>
  <c r="W4" i="2"/>
  <c r="O7" i="2"/>
  <c r="P7" i="2" s="1"/>
  <c r="G5" i="2"/>
  <c r="S9" i="2"/>
  <c r="T9" i="2" s="1"/>
  <c r="K10" i="2"/>
  <c r="L10" i="2" s="1"/>
  <c r="S10" i="2"/>
  <c r="T10" i="2" s="1"/>
  <c r="C44" i="9"/>
  <c r="W21" i="2"/>
  <c r="X21" i="2" s="1"/>
  <c r="O11" i="2"/>
  <c r="P11" i="2" s="1"/>
  <c r="AA9" i="2"/>
  <c r="AB9" i="2" s="1"/>
  <c r="G10" i="2"/>
  <c r="H10" i="2" s="1"/>
  <c r="O5" i="2"/>
  <c r="W10" i="2"/>
  <c r="X10" i="2" s="1"/>
  <c r="K9" i="2"/>
  <c r="L9" i="2" s="1"/>
  <c r="S7" i="2"/>
  <c r="T7" i="2" s="1"/>
  <c r="AA10" i="2"/>
  <c r="AB10" i="2" s="1"/>
  <c r="AA6" i="2"/>
  <c r="AA14" i="2"/>
  <c r="AB14" i="2" s="1"/>
  <c r="AA11" i="2"/>
  <c r="AB11" i="2" s="1"/>
  <c r="W6" i="2"/>
  <c r="S22" i="2"/>
  <c r="T22" i="2" s="1"/>
  <c r="C50" i="9"/>
  <c r="S6" i="2"/>
  <c r="C45" i="9"/>
  <c r="C51" i="9"/>
  <c r="AA5" i="2"/>
  <c r="K6" i="2"/>
  <c r="O6" i="2"/>
  <c r="S23" i="2"/>
  <c r="T23" i="2" s="1"/>
  <c r="W9" i="2"/>
  <c r="X9" i="2" s="1"/>
  <c r="G23" i="2"/>
  <c r="AA7" i="2"/>
  <c r="AB7" i="2" s="1"/>
  <c r="S11" i="2"/>
  <c r="T11" i="2" s="1"/>
  <c r="W14" i="2"/>
  <c r="X14" i="2" s="1"/>
  <c r="C47" i="9"/>
  <c r="C53" i="9"/>
  <c r="W22" i="2"/>
  <c r="X22" i="2" s="1"/>
  <c r="S14" i="2"/>
  <c r="T14" i="2" s="1"/>
  <c r="C49" i="9"/>
  <c r="S21" i="2"/>
  <c r="T21" i="2" s="1"/>
  <c r="O21" i="2"/>
  <c r="P21" i="2" s="1"/>
  <c r="C22" i="4"/>
  <c r="O14" i="2"/>
  <c r="P14" i="2" s="1"/>
  <c r="G7" i="2"/>
  <c r="K14" i="2"/>
  <c r="L14" i="2" s="1"/>
  <c r="K4" i="2"/>
  <c r="G15" i="2"/>
  <c r="G14" i="2"/>
  <c r="G6" i="2"/>
  <c r="C43" i="9"/>
  <c r="O22" i="2"/>
  <c r="P22" i="2" s="1"/>
  <c r="K23" i="2"/>
  <c r="L23" i="2" s="1"/>
  <c r="G21" i="2"/>
  <c r="W11" i="2"/>
  <c r="X11" i="2" s="1"/>
  <c r="G11" i="2"/>
  <c r="H11" i="2" s="1"/>
  <c r="O10" i="2"/>
  <c r="P10" i="2" s="1"/>
  <c r="W23" i="2"/>
  <c r="X23" i="2" s="1"/>
  <c r="C46" i="9"/>
  <c r="AA21" i="2"/>
  <c r="AB21" i="2" s="1"/>
  <c r="AA23" i="2"/>
  <c r="AB23" i="2" s="1"/>
  <c r="K15" i="2"/>
  <c r="L30" i="2" s="1"/>
  <c r="K7" i="2"/>
  <c r="L7" i="2" s="1"/>
  <c r="K5" i="2"/>
  <c r="K21" i="2"/>
  <c r="L21" i="2" s="1"/>
  <c r="AA22" i="2"/>
  <c r="AB22" i="2" s="1"/>
  <c r="AE19" i="2" l="1"/>
  <c r="AC13" i="2"/>
  <c r="AC26" i="2" s="1"/>
  <c r="AB26" i="2"/>
  <c r="U13" i="2"/>
  <c r="U26" i="2" s="1"/>
  <c r="T26" i="2"/>
  <c r="Y13" i="2"/>
  <c r="Y26" i="2" s="1"/>
  <c r="X26" i="2"/>
  <c r="Q13" i="2"/>
  <c r="Q26" i="2" s="1"/>
  <c r="P26" i="2"/>
  <c r="M13" i="2"/>
  <c r="M26" i="2" s="1"/>
  <c r="L26" i="2"/>
  <c r="C56" i="9"/>
  <c r="C28" i="4"/>
  <c r="C28" i="8" s="1"/>
  <c r="F28" i="8" s="1"/>
  <c r="G28" i="8" s="1"/>
  <c r="I28" i="8" s="1"/>
  <c r="AB4" i="2"/>
  <c r="Q4" i="2"/>
  <c r="U4" i="2"/>
  <c r="I4" i="2"/>
  <c r="L28" i="2"/>
  <c r="M11" i="2"/>
  <c r="M28" i="2" s="1"/>
  <c r="H14" i="2"/>
  <c r="AD14" i="2"/>
  <c r="X6" i="2"/>
  <c r="Y6" i="2"/>
  <c r="U5" i="2"/>
  <c r="T5" i="2"/>
  <c r="Y14" i="2"/>
  <c r="Y29" i="2" s="1"/>
  <c r="M10" i="2"/>
  <c r="I9" i="2"/>
  <c r="AD9" i="2"/>
  <c r="L5" i="2"/>
  <c r="M5" i="2"/>
  <c r="L4" i="2"/>
  <c r="M4" i="2"/>
  <c r="AC6" i="2"/>
  <c r="AB6" i="2"/>
  <c r="P28" i="2"/>
  <c r="Q11" i="2"/>
  <c r="Q28" i="2" s="1"/>
  <c r="U9" i="2"/>
  <c r="L15" i="2"/>
  <c r="M15" i="2" s="1"/>
  <c r="M30" i="2" s="1"/>
  <c r="Y10" i="2"/>
  <c r="C21" i="6"/>
  <c r="F22" i="4"/>
  <c r="C34" i="9"/>
  <c r="C22" i="7"/>
  <c r="G22" i="7" s="1"/>
  <c r="C22" i="8"/>
  <c r="F22" i="8" s="1"/>
  <c r="G22" i="8" s="1"/>
  <c r="I22" i="8" s="1"/>
  <c r="C14" i="5"/>
  <c r="F14" i="5" s="1"/>
  <c r="P5" i="2"/>
  <c r="Q5" i="2"/>
  <c r="H30" i="2"/>
  <c r="AD15" i="2"/>
  <c r="H15" i="2"/>
  <c r="AC11" i="2"/>
  <c r="AC28" i="2" s="1"/>
  <c r="AB28" i="2"/>
  <c r="C27" i="4"/>
  <c r="C27" i="8"/>
  <c r="F27" i="8" s="1"/>
  <c r="G27" i="8" s="1"/>
  <c r="I27" i="8" s="1"/>
  <c r="C27" i="7"/>
  <c r="G27" i="7" s="1"/>
  <c r="C52" i="9"/>
  <c r="AC14" i="2"/>
  <c r="AC29" i="2" s="1"/>
  <c r="Q10" i="2"/>
  <c r="M14" i="2"/>
  <c r="M29" i="2" s="1"/>
  <c r="H23" i="2"/>
  <c r="AE23" i="2"/>
  <c r="AD23" i="2"/>
  <c r="T6" i="2"/>
  <c r="U6" i="2"/>
  <c r="AC10" i="2"/>
  <c r="I5" i="2"/>
  <c r="H5" i="2"/>
  <c r="AD5" i="2"/>
  <c r="AD19" i="2"/>
  <c r="H33" i="3"/>
  <c r="C37" i="3"/>
  <c r="C169" i="10" s="1"/>
  <c r="AD4" i="2"/>
  <c r="I6" i="2"/>
  <c r="H6" i="2"/>
  <c r="AD6" i="2"/>
  <c r="C9" i="4" s="1"/>
  <c r="Y4" i="2"/>
  <c r="X4" i="2"/>
  <c r="AE21" i="2"/>
  <c r="H21" i="2"/>
  <c r="AD21" i="2"/>
  <c r="AC5" i="2"/>
  <c r="AC25" i="2" s="1"/>
  <c r="AB5" i="2"/>
  <c r="C15" i="5"/>
  <c r="F15" i="5" s="1"/>
  <c r="C30" i="3"/>
  <c r="C162" i="10" s="1"/>
  <c r="C23" i="4"/>
  <c r="D31" i="3"/>
  <c r="D41" i="3" s="1"/>
  <c r="U11" i="2"/>
  <c r="U28" i="2" s="1"/>
  <c r="T28" i="2"/>
  <c r="C15" i="6"/>
  <c r="C7" i="5"/>
  <c r="F7" i="5" s="1"/>
  <c r="C15" i="4"/>
  <c r="H13" i="2"/>
  <c r="H26" i="2" s="1"/>
  <c r="AD13" i="2"/>
  <c r="H7" i="2"/>
  <c r="AE7" i="2" s="1"/>
  <c r="AD7" i="2"/>
  <c r="U14" i="2"/>
  <c r="U29" i="2" s="1"/>
  <c r="X27" i="2"/>
  <c r="Y9" i="2"/>
  <c r="Q9" i="2"/>
  <c r="H29" i="3"/>
  <c r="X28" i="2"/>
  <c r="Y11" i="2"/>
  <c r="Y28" i="2" s="1"/>
  <c r="Q6" i="2"/>
  <c r="P6" i="2"/>
  <c r="H28" i="3"/>
  <c r="E38" i="3"/>
  <c r="C55" i="9"/>
  <c r="H35" i="3"/>
  <c r="L6" i="2"/>
  <c r="M6" i="2"/>
  <c r="U10" i="2"/>
  <c r="L17" i="2"/>
  <c r="AE17" i="2" s="1"/>
  <c r="K17" i="2"/>
  <c r="E13" i="3" s="1"/>
  <c r="AD10" i="2"/>
  <c r="I10" i="2"/>
  <c r="X5" i="2"/>
  <c r="Y5" i="2"/>
  <c r="AC9" i="2"/>
  <c r="I11" i="2"/>
  <c r="I28" i="2" s="1"/>
  <c r="AD11" i="2"/>
  <c r="Q14" i="2"/>
  <c r="Q29" i="2" s="1"/>
  <c r="M9" i="2"/>
  <c r="C42" i="9"/>
  <c r="E31" i="3"/>
  <c r="H22" i="2"/>
  <c r="AD22" i="2"/>
  <c r="AE22" i="2"/>
  <c r="H36" i="3"/>
  <c r="F13" i="3" l="1"/>
  <c r="Y27" i="2"/>
  <c r="M27" i="2"/>
  <c r="AB27" i="2"/>
  <c r="P27" i="2"/>
  <c r="L25" i="2"/>
  <c r="AB25" i="2"/>
  <c r="AB31" i="2" s="1"/>
  <c r="P25" i="2"/>
  <c r="T25" i="2"/>
  <c r="X25" i="2"/>
  <c r="X31" i="2" s="1"/>
  <c r="T27" i="2"/>
  <c r="U25" i="2"/>
  <c r="L27" i="2"/>
  <c r="AC27" i="2"/>
  <c r="Q27" i="2"/>
  <c r="Y25" i="2"/>
  <c r="U27" i="2"/>
  <c r="M25" i="2"/>
  <c r="Q25" i="2"/>
  <c r="H34" i="3"/>
  <c r="C38" i="3"/>
  <c r="H25" i="2"/>
  <c r="C54" i="9"/>
  <c r="F28" i="4"/>
  <c r="J28" i="4" s="1"/>
  <c r="I28" i="7" s="1"/>
  <c r="C27" i="6"/>
  <c r="C28" i="7"/>
  <c r="G28" i="7" s="1"/>
  <c r="I25" i="2"/>
  <c r="AE4" i="2"/>
  <c r="AE30" i="2"/>
  <c r="C29" i="6"/>
  <c r="C30" i="4"/>
  <c r="C12" i="5"/>
  <c r="F12" i="5" s="1"/>
  <c r="C20" i="4"/>
  <c r="C20" i="6"/>
  <c r="G20" i="6" s="1"/>
  <c r="J22" i="4"/>
  <c r="I22" i="7" s="1"/>
  <c r="AE10" i="2"/>
  <c r="F27" i="4"/>
  <c r="C26" i="6"/>
  <c r="H26" i="8"/>
  <c r="I26" i="8" s="1"/>
  <c r="F26" i="8"/>
  <c r="G26" i="8" s="1"/>
  <c r="AE11" i="2"/>
  <c r="H28" i="2"/>
  <c r="AE28" i="2" s="1"/>
  <c r="C35" i="9"/>
  <c r="C23" i="8"/>
  <c r="F23" i="8" s="1"/>
  <c r="G23" i="8" s="1"/>
  <c r="I23" i="8" s="1"/>
  <c r="F23" i="4"/>
  <c r="C23" i="7"/>
  <c r="G23" i="7" s="1"/>
  <c r="C22" i="6"/>
  <c r="F26" i="4"/>
  <c r="C40" i="9"/>
  <c r="C25" i="6"/>
  <c r="C18" i="5"/>
  <c r="F18" i="5" s="1"/>
  <c r="G26" i="9" s="1"/>
  <c r="C26" i="7"/>
  <c r="G26" i="7" s="1"/>
  <c r="C6" i="4"/>
  <c r="C5" i="4"/>
  <c r="C10" i="4"/>
  <c r="C10" i="6"/>
  <c r="C18" i="9"/>
  <c r="C6" i="5"/>
  <c r="F6" i="5" s="1"/>
  <c r="C14" i="4"/>
  <c r="C14" i="6"/>
  <c r="G14" i="6" s="1"/>
  <c r="C25" i="9"/>
  <c r="F15" i="4"/>
  <c r="C15" i="7"/>
  <c r="G15" i="7" s="1"/>
  <c r="C15" i="8"/>
  <c r="F15" i="8" s="1"/>
  <c r="G15" i="8" s="1"/>
  <c r="I15" i="8" s="1"/>
  <c r="AD28" i="2"/>
  <c r="H12" i="3"/>
  <c r="H13" i="3" s="1"/>
  <c r="AD17" i="2"/>
  <c r="C11" i="6"/>
  <c r="C11" i="4"/>
  <c r="C31" i="3"/>
  <c r="C8" i="5"/>
  <c r="F8" i="5" s="1"/>
  <c r="C16" i="4"/>
  <c r="C8" i="4"/>
  <c r="C7" i="4"/>
  <c r="C31" i="6"/>
  <c r="C32" i="4"/>
  <c r="AE9" i="2"/>
  <c r="H27" i="2"/>
  <c r="C9" i="5"/>
  <c r="F9" i="5" s="1"/>
  <c r="C17" i="4"/>
  <c r="E41" i="3"/>
  <c r="G13" i="3"/>
  <c r="F9" i="4"/>
  <c r="C14" i="9"/>
  <c r="C9" i="6"/>
  <c r="G9" i="6" s="1"/>
  <c r="C9" i="8"/>
  <c r="F9" i="8" s="1"/>
  <c r="G9" i="8" s="1"/>
  <c r="I9" i="8" s="1"/>
  <c r="C9" i="7"/>
  <c r="G9" i="7" s="1"/>
  <c r="AE6" i="2"/>
  <c r="AE15" i="2"/>
  <c r="I15" i="2"/>
  <c r="I27" i="2"/>
  <c r="AE13" i="2"/>
  <c r="I13" i="2"/>
  <c r="I26" i="2" s="1"/>
  <c r="AE14" i="2"/>
  <c r="AE26" i="2"/>
  <c r="I14" i="2"/>
  <c r="I29" i="2" s="1"/>
  <c r="AE5" i="2"/>
  <c r="C13" i="4"/>
  <c r="C5" i="5"/>
  <c r="F5" i="5" s="1"/>
  <c r="C13" i="6"/>
  <c r="C30" i="6"/>
  <c r="C31" i="4"/>
  <c r="C19" i="6"/>
  <c r="C11" i="5"/>
  <c r="F11" i="5" s="1"/>
  <c r="C19" i="4"/>
  <c r="C13" i="5"/>
  <c r="F13" i="5" s="1"/>
  <c r="C21" i="4"/>
  <c r="D34" i="4" l="1"/>
  <c r="F34" i="4" s="1"/>
  <c r="I34" i="7" s="1"/>
  <c r="M34" i="7" s="1"/>
  <c r="G21" i="9" s="1"/>
  <c r="P31" i="2"/>
  <c r="P33" i="2" s="1"/>
  <c r="L31" i="2"/>
  <c r="L33" i="2" s="1"/>
  <c r="T31" i="2"/>
  <c r="T33" i="2" s="1"/>
  <c r="H31" i="2"/>
  <c r="I30" i="2"/>
  <c r="AD30" i="2" s="1"/>
  <c r="C57" i="9"/>
  <c r="X33" i="2"/>
  <c r="M28" i="7"/>
  <c r="O28" i="7" s="1"/>
  <c r="AB33" i="2"/>
  <c r="G19" i="6"/>
  <c r="D31" i="9" s="1"/>
  <c r="M22" i="7"/>
  <c r="K22" i="7" s="1"/>
  <c r="F19" i="4"/>
  <c r="C31" i="9"/>
  <c r="C19" i="7"/>
  <c r="G19" i="7" s="1"/>
  <c r="C19" i="8"/>
  <c r="F19" i="8" s="1"/>
  <c r="G19" i="8" s="1"/>
  <c r="I19" i="8" s="1"/>
  <c r="C17" i="6"/>
  <c r="C27" i="9"/>
  <c r="C17" i="7"/>
  <c r="G17" i="7" s="1"/>
  <c r="F17" i="4"/>
  <c r="C17" i="8"/>
  <c r="F17" i="8" s="1"/>
  <c r="G17" i="8" s="1"/>
  <c r="I17" i="8" s="1"/>
  <c r="J26" i="4"/>
  <c r="I26" i="7" s="1"/>
  <c r="M26" i="7" s="1"/>
  <c r="O26" i="7" s="1"/>
  <c r="G25" i="9"/>
  <c r="J15" i="4"/>
  <c r="I15" i="7"/>
  <c r="M15" i="7" s="1"/>
  <c r="O15" i="7" s="1"/>
  <c r="AD26" i="2"/>
  <c r="C62" i="9"/>
  <c r="G36" i="9" s="1"/>
  <c r="F32" i="4"/>
  <c r="C32" i="7"/>
  <c r="G32" i="7" s="1"/>
  <c r="C32" i="8"/>
  <c r="F32" i="8" s="1"/>
  <c r="C19" i="9"/>
  <c r="C20" i="9" s="1"/>
  <c r="F11" i="4"/>
  <c r="C11" i="7"/>
  <c r="C11" i="8"/>
  <c r="F11" i="8" s="1"/>
  <c r="G11" i="8" s="1"/>
  <c r="I11" i="8" s="1"/>
  <c r="C5" i="6"/>
  <c r="G5" i="6" s="1"/>
  <c r="C5" i="7"/>
  <c r="G5" i="7" s="1"/>
  <c r="F5" i="4"/>
  <c r="C5" i="8"/>
  <c r="C7" i="9"/>
  <c r="F20" i="5"/>
  <c r="G24" i="9"/>
  <c r="F10" i="4"/>
  <c r="C10" i="7"/>
  <c r="C10" i="8"/>
  <c r="F10" i="8" s="1"/>
  <c r="G10" i="8" s="1"/>
  <c r="I10" i="8" s="1"/>
  <c r="G38" i="3"/>
  <c r="C41" i="3"/>
  <c r="F38" i="3"/>
  <c r="D24" i="9"/>
  <c r="I14" i="6"/>
  <c r="J14" i="6"/>
  <c r="K14" i="6" s="1"/>
  <c r="L14" i="6" s="1"/>
  <c r="C6" i="7"/>
  <c r="G6" i="7" s="1"/>
  <c r="C12" i="9"/>
  <c r="F6" i="4"/>
  <c r="C6" i="8"/>
  <c r="F6" i="8" s="1"/>
  <c r="G6" i="8" s="1"/>
  <c r="I6" i="8" s="1"/>
  <c r="C6" i="6"/>
  <c r="G6" i="6" s="1"/>
  <c r="D32" i="9"/>
  <c r="J20" i="6"/>
  <c r="K20" i="6" s="1"/>
  <c r="L20" i="6" s="1"/>
  <c r="I20" i="6"/>
  <c r="J27" i="4"/>
  <c r="I27" i="7" s="1"/>
  <c r="M27" i="7" s="1"/>
  <c r="F13" i="4"/>
  <c r="C23" i="9"/>
  <c r="C13" i="7"/>
  <c r="G13" i="7" s="1"/>
  <c r="C13" i="8"/>
  <c r="F13" i="8" s="1"/>
  <c r="G13" i="8" s="1"/>
  <c r="I13" i="8" s="1"/>
  <c r="AD29" i="2"/>
  <c r="D14" i="9"/>
  <c r="I9" i="6"/>
  <c r="J9" i="6"/>
  <c r="K9" i="6" s="1"/>
  <c r="L9" i="6" s="1"/>
  <c r="C7" i="6"/>
  <c r="G7" i="6" s="1"/>
  <c r="C8" i="9"/>
  <c r="F7" i="4"/>
  <c r="C7" i="8"/>
  <c r="C7" i="7"/>
  <c r="G7" i="7" s="1"/>
  <c r="G31" i="3"/>
  <c r="F31" i="3"/>
  <c r="F20" i="4"/>
  <c r="C20" i="7"/>
  <c r="G20" i="7" s="1"/>
  <c r="C32" i="9"/>
  <c r="C20" i="8"/>
  <c r="F20" i="8" s="1"/>
  <c r="G20" i="8" s="1"/>
  <c r="I20" i="8" s="1"/>
  <c r="AD27" i="2"/>
  <c r="C13" i="9"/>
  <c r="F8" i="4"/>
  <c r="C8" i="7"/>
  <c r="G8" i="7" s="1"/>
  <c r="C8" i="8"/>
  <c r="F8" i="8" s="1"/>
  <c r="G8" i="8" s="1"/>
  <c r="I8" i="8" s="1"/>
  <c r="C8" i="6"/>
  <c r="G8" i="6" s="1"/>
  <c r="J23" i="4"/>
  <c r="I23" i="7" s="1"/>
  <c r="M23" i="7" s="1"/>
  <c r="O23" i="7" s="1"/>
  <c r="C61" i="9"/>
  <c r="G35" i="9" s="1"/>
  <c r="C31" i="8"/>
  <c r="F31" i="8" s="1"/>
  <c r="F31" i="4"/>
  <c r="C31" i="7"/>
  <c r="G31" i="7" s="1"/>
  <c r="C26" i="9"/>
  <c r="C16" i="6"/>
  <c r="C16" i="8"/>
  <c r="F16" i="8" s="1"/>
  <c r="G16" i="8" s="1"/>
  <c r="I16" i="8" s="1"/>
  <c r="F16" i="4"/>
  <c r="C16" i="7"/>
  <c r="G16" i="7" s="1"/>
  <c r="C24" i="9"/>
  <c r="C14" i="7"/>
  <c r="G14" i="7" s="1"/>
  <c r="C14" i="8"/>
  <c r="F14" i="8" s="1"/>
  <c r="G14" i="8" s="1"/>
  <c r="I14" i="8" s="1"/>
  <c r="F14" i="4"/>
  <c r="F21" i="4"/>
  <c r="C33" i="9"/>
  <c r="C21" i="8"/>
  <c r="F21" i="8" s="1"/>
  <c r="G21" i="8" s="1"/>
  <c r="I21" i="8" s="1"/>
  <c r="C21" i="7"/>
  <c r="G21" i="7" s="1"/>
  <c r="J9" i="4"/>
  <c r="I9" i="7" s="1"/>
  <c r="AE27" i="2"/>
  <c r="AE31" i="2" s="1"/>
  <c r="C36" i="6"/>
  <c r="C39" i="4"/>
  <c r="C60" i="9"/>
  <c r="C30" i="7"/>
  <c r="G30" i="7" s="1"/>
  <c r="F30" i="4"/>
  <c r="C30" i="8"/>
  <c r="F30" i="8" s="1"/>
  <c r="C38" i="6" l="1"/>
  <c r="C41" i="4"/>
  <c r="C41" i="8" s="1"/>
  <c r="F41" i="8" s="1"/>
  <c r="G41" i="8" s="1"/>
  <c r="I41" i="8" s="1"/>
  <c r="AB32" i="2"/>
  <c r="X32" i="2"/>
  <c r="T32" i="2"/>
  <c r="P32" i="2"/>
  <c r="H33" i="2"/>
  <c r="H32" i="2" s="1"/>
  <c r="L32" i="2"/>
  <c r="I19" i="6"/>
  <c r="C15" i="9"/>
  <c r="G13" i="6"/>
  <c r="J13" i="6" s="1"/>
  <c r="K13" i="6" s="1"/>
  <c r="L13" i="6" s="1"/>
  <c r="J19" i="6"/>
  <c r="K19" i="6" s="1"/>
  <c r="L19" i="6" s="1"/>
  <c r="C28" i="9"/>
  <c r="M9" i="7"/>
  <c r="O9" i="7" s="1"/>
  <c r="J13" i="4"/>
  <c r="I13" i="7" s="1"/>
  <c r="J5" i="6"/>
  <c r="K5" i="6" s="1"/>
  <c r="L5" i="6" s="1"/>
  <c r="I5" i="6"/>
  <c r="D7" i="9"/>
  <c r="J31" i="4"/>
  <c r="I31" i="7" s="1"/>
  <c r="M31" i="7" s="1"/>
  <c r="O31" i="7" s="1"/>
  <c r="G31" i="8"/>
  <c r="I31" i="8" s="1"/>
  <c r="J10" i="4"/>
  <c r="I10" i="7" s="1"/>
  <c r="D13" i="9"/>
  <c r="I8" i="6"/>
  <c r="J8" i="6"/>
  <c r="K8" i="6" s="1"/>
  <c r="L8" i="6" s="1"/>
  <c r="J20" i="4"/>
  <c r="I20" i="7" s="1"/>
  <c r="J14" i="4"/>
  <c r="I14" i="7" s="1"/>
  <c r="J32" i="4"/>
  <c r="I32" i="7" s="1"/>
  <c r="M32" i="7" s="1"/>
  <c r="O32" i="7" s="1"/>
  <c r="G32" i="8"/>
  <c r="I32" i="8" s="1"/>
  <c r="J8" i="4"/>
  <c r="I8" i="7" s="1"/>
  <c r="G10" i="7"/>
  <c r="M10" i="7"/>
  <c r="O10" i="7" s="1"/>
  <c r="C63" i="9"/>
  <c r="G34" i="9"/>
  <c r="G37" i="9" s="1"/>
  <c r="C35" i="6"/>
  <c r="C38" i="4"/>
  <c r="C37" i="6"/>
  <c r="C40" i="4"/>
  <c r="G27" i="9"/>
  <c r="G11" i="7"/>
  <c r="M11" i="7"/>
  <c r="O11" i="7" s="1"/>
  <c r="C37" i="9"/>
  <c r="J21" i="4"/>
  <c r="I21" i="7" s="1"/>
  <c r="J7" i="6"/>
  <c r="K7" i="6" s="1"/>
  <c r="L7" i="6" s="1"/>
  <c r="I7" i="6"/>
  <c r="D8" i="9"/>
  <c r="J5" i="4"/>
  <c r="I5" i="7" s="1"/>
  <c r="J30" i="4"/>
  <c r="I30" i="7" s="1"/>
  <c r="M30" i="7" s="1"/>
  <c r="O30" i="7" s="1"/>
  <c r="G30" i="8"/>
  <c r="I30" i="8" s="1"/>
  <c r="F7" i="8"/>
  <c r="G7" i="8"/>
  <c r="I7" i="8" s="1"/>
  <c r="J11" i="4"/>
  <c r="I11" i="7" s="1"/>
  <c r="C34" i="6"/>
  <c r="C37" i="4"/>
  <c r="J19" i="4"/>
  <c r="I19" i="7" s="1"/>
  <c r="F5" i="8"/>
  <c r="G5" i="8"/>
  <c r="J6" i="4"/>
  <c r="I6" i="7" s="1"/>
  <c r="F39" i="4"/>
  <c r="C39" i="7"/>
  <c r="G39" i="7" s="1"/>
  <c r="C69" i="9"/>
  <c r="C39" i="8"/>
  <c r="F39" i="8" s="1"/>
  <c r="G39" i="8" s="1"/>
  <c r="I39" i="8" s="1"/>
  <c r="J16" i="4"/>
  <c r="I16" i="7" s="1"/>
  <c r="M16" i="7" s="1"/>
  <c r="O16" i="7" s="1"/>
  <c r="J7" i="4"/>
  <c r="I7" i="7" s="1"/>
  <c r="J6" i="6"/>
  <c r="K6" i="6" s="1"/>
  <c r="L6" i="6" s="1"/>
  <c r="I6" i="6"/>
  <c r="D12" i="9"/>
  <c r="F41" i="3"/>
  <c r="C9" i="9"/>
  <c r="J17" i="4"/>
  <c r="I17" i="7" s="1"/>
  <c r="M17" i="7" s="1"/>
  <c r="O17" i="7" s="1"/>
  <c r="F41" i="4"/>
  <c r="C71" i="9" l="1"/>
  <c r="C41" i="7"/>
  <c r="G41" i="7" s="1"/>
  <c r="C174" i="10"/>
  <c r="G30" i="9"/>
  <c r="G31" i="9" s="1"/>
  <c r="C178" i="10"/>
  <c r="C177" i="10"/>
  <c r="C176" i="10"/>
  <c r="C175" i="10"/>
  <c r="C173" i="10"/>
  <c r="D23" i="9"/>
  <c r="I13" i="6"/>
  <c r="I23" i="6" s="1"/>
  <c r="G39" i="6" s="1"/>
  <c r="M7" i="7"/>
  <c r="O7" i="7" s="1"/>
  <c r="K9" i="7"/>
  <c r="M6" i="7"/>
  <c r="O6" i="7" s="1"/>
  <c r="M13" i="7"/>
  <c r="O13" i="7" s="1"/>
  <c r="M21" i="7"/>
  <c r="O21" i="7" s="1"/>
  <c r="M14" i="7"/>
  <c r="O14" i="7" s="1"/>
  <c r="M8" i="7"/>
  <c r="O8" i="7" s="1"/>
  <c r="M20" i="7"/>
  <c r="O20" i="7" s="1"/>
  <c r="I5" i="8"/>
  <c r="C68" i="9"/>
  <c r="C38" i="8"/>
  <c r="F38" i="8" s="1"/>
  <c r="G38" i="8" s="1"/>
  <c r="I38" i="8" s="1"/>
  <c r="F38" i="4"/>
  <c r="C38" i="7"/>
  <c r="G38" i="7" s="1"/>
  <c r="C40" i="7"/>
  <c r="G40" i="7" s="1"/>
  <c r="C40" i="8"/>
  <c r="F40" i="8" s="1"/>
  <c r="G40" i="8" s="1"/>
  <c r="I40" i="8" s="1"/>
  <c r="C70" i="9"/>
  <c r="F40" i="4"/>
  <c r="M5" i="7"/>
  <c r="K5" i="7" s="1"/>
  <c r="J39" i="4"/>
  <c r="I39" i="7"/>
  <c r="M39" i="7" s="1"/>
  <c r="C67" i="9"/>
  <c r="F37" i="4"/>
  <c r="C37" i="7"/>
  <c r="G37" i="7" s="1"/>
  <c r="C37" i="8"/>
  <c r="F37" i="8" s="1"/>
  <c r="G37" i="8" s="1"/>
  <c r="I37" i="8" s="1"/>
  <c r="M19" i="7"/>
  <c r="O19" i="7" s="1"/>
  <c r="I41" i="7"/>
  <c r="J41" i="4"/>
  <c r="M41" i="7" l="1"/>
  <c r="G46" i="7"/>
  <c r="G5" i="9" s="1"/>
  <c r="K14" i="7"/>
  <c r="K7" i="7"/>
  <c r="K13" i="7"/>
  <c r="K6" i="7"/>
  <c r="K19" i="7"/>
  <c r="K20" i="7"/>
  <c r="K8" i="7"/>
  <c r="O5" i="7"/>
  <c r="J40" i="4"/>
  <c r="I40" i="7"/>
  <c r="M40" i="7" s="1"/>
  <c r="I43" i="8"/>
  <c r="G43" i="8"/>
  <c r="F42" i="8"/>
  <c r="J37" i="4"/>
  <c r="I37" i="7"/>
  <c r="M37" i="7" s="1"/>
  <c r="F43" i="4"/>
  <c r="G6" i="9" s="1"/>
  <c r="C72" i="9"/>
  <c r="K21" i="7"/>
  <c r="J38" i="4"/>
  <c r="I38" i="7"/>
  <c r="M38" i="7" s="1"/>
  <c r="M46" i="7" l="1"/>
  <c r="K46" i="7"/>
  <c r="K47" i="7" s="1"/>
  <c r="J43" i="4"/>
  <c r="I47" i="8" s="1"/>
  <c r="G17" i="9" s="1"/>
  <c r="G14" i="9"/>
  <c r="I45" i="8"/>
  <c r="I46" i="7"/>
  <c r="G8" i="9" l="1"/>
  <c r="M47" i="7"/>
  <c r="G11" i="9" s="1"/>
  <c r="G9" i="9"/>
  <c r="I48" i="8"/>
  <c r="G18" i="9" s="1"/>
  <c r="G10" i="9" l="1"/>
</calcChain>
</file>

<file path=xl/comments1.xml><?xml version="1.0" encoding="utf-8"?>
<comments xmlns="http://schemas.openxmlformats.org/spreadsheetml/2006/main">
  <authors>
    <author>Joe Karp</author>
  </authors>
  <commentList>
    <comment ref="C3" authorId="0">
      <text>
        <r>
          <rPr>
            <b/>
            <sz val="10"/>
            <color indexed="81"/>
            <rFont val="Tahoma"/>
            <family val="2"/>
          </rPr>
          <t>Little red triangles in the upper right hand corner indicate that boxes containing more detailed information will pop up if you hover the cursor over the cell.</t>
        </r>
      </text>
    </comment>
  </commentList>
</comments>
</file>

<file path=xl/comments2.xml><?xml version="1.0" encoding="utf-8"?>
<comments xmlns="http://schemas.openxmlformats.org/spreadsheetml/2006/main">
  <authors>
    <author>Dorian Farhang</author>
    <author>Paula Blasier</author>
    <author>Steve Chamberline</author>
  </authors>
  <commentList>
    <comment ref="F4" authorId="0">
      <text>
        <r>
          <rPr>
            <sz val="9"/>
            <color indexed="81"/>
            <rFont val="Arial"/>
            <family val="2"/>
          </rPr>
          <t>Click on cell to enable drop down menu and select the number of buildings you would like to build.</t>
        </r>
      </text>
    </comment>
    <comment ref="J4" authorId="0">
      <text>
        <r>
          <rPr>
            <sz val="10"/>
            <color indexed="81"/>
            <rFont val="Arial"/>
            <family val="2"/>
          </rPr>
          <t>Click on cell to enable drop down menu and select the number of buildings you would like to build.</t>
        </r>
      </text>
    </comment>
    <comment ref="N4" authorId="0">
      <text>
        <r>
          <rPr>
            <sz val="9"/>
            <color indexed="81"/>
            <rFont val="Tahoma"/>
            <family val="2"/>
          </rPr>
          <t>Click on cell to enable drop down menu and select the number of buildings you would like to build.</t>
        </r>
      </text>
    </comment>
    <comment ref="R4" authorId="0">
      <text>
        <r>
          <rPr>
            <sz val="9"/>
            <color indexed="81"/>
            <rFont val="Tahoma"/>
            <family val="2"/>
          </rPr>
          <t>Click on cell to enable drop down menu and select the number of buildings you would like to build.</t>
        </r>
      </text>
    </comment>
    <comment ref="V4" authorId="0">
      <text>
        <r>
          <rPr>
            <sz val="9"/>
            <color indexed="81"/>
            <rFont val="Tahoma"/>
            <family val="2"/>
          </rPr>
          <t>Click on cell to enable drop down menu and select the number of buildings you would like to build.</t>
        </r>
      </text>
    </comment>
    <comment ref="Z4" authorId="0">
      <text>
        <r>
          <rPr>
            <sz val="9"/>
            <color indexed="81"/>
            <rFont val="Tahoma"/>
            <family val="2"/>
          </rPr>
          <t>Click on cell to enable drop down menu and select the number of buildings you would like to build.</t>
        </r>
      </text>
    </comment>
    <comment ref="F5" authorId="1">
      <text>
        <r>
          <rPr>
            <sz val="9"/>
            <color indexed="81"/>
            <rFont val="Tahoma"/>
            <family val="2"/>
          </rPr>
          <t>Click on cell to enable drop down menu and select the number of buildings you would like to build.</t>
        </r>
      </text>
    </comment>
    <comment ref="J5" authorId="1">
      <text>
        <r>
          <rPr>
            <b/>
            <sz val="10"/>
            <color indexed="81"/>
            <rFont val="Arial"/>
            <family val="2"/>
          </rPr>
          <t>Click on cell to enable drop down menu and select the number of buildings you would like to build</t>
        </r>
        <r>
          <rPr>
            <sz val="9"/>
            <color indexed="81"/>
            <rFont val="Tahoma"/>
            <family val="2"/>
          </rPr>
          <t xml:space="preserve">
</t>
        </r>
      </text>
    </comment>
    <comment ref="F6" authorId="1">
      <text>
        <r>
          <rPr>
            <sz val="9"/>
            <color indexed="81"/>
            <rFont val="Tahoma"/>
            <family val="2"/>
          </rPr>
          <t>Click on cell to enable drop down menu and select the number of buildings you would like to build.</t>
        </r>
      </text>
    </comment>
    <comment ref="J6" authorId="1">
      <text>
        <r>
          <rPr>
            <sz val="9"/>
            <color indexed="81"/>
            <rFont val="Tahoma"/>
            <family val="2"/>
          </rPr>
          <t xml:space="preserve">Click on cell to enable drop down menu and select the number of buildings you would like to build
</t>
        </r>
      </text>
    </comment>
    <comment ref="F7" authorId="1">
      <text>
        <r>
          <rPr>
            <sz val="9"/>
            <color indexed="81"/>
            <rFont val="Tahoma"/>
            <family val="2"/>
          </rPr>
          <t>Click on cell to enable drop down menu and select the number of buildings you would like to build.</t>
        </r>
      </text>
    </comment>
    <comment ref="F9" authorId="1">
      <text>
        <r>
          <rPr>
            <sz val="9"/>
            <color indexed="81"/>
            <rFont val="Tahoma"/>
            <family val="2"/>
          </rPr>
          <t>Click on cell to enable drop down menu and select the number of buildings you would like to build</t>
        </r>
        <r>
          <rPr>
            <b/>
            <sz val="9"/>
            <color indexed="81"/>
            <rFont val="Tahoma"/>
            <family val="2"/>
          </rPr>
          <t>.</t>
        </r>
      </text>
    </comment>
    <comment ref="J9" authorId="0">
      <text>
        <r>
          <rPr>
            <b/>
            <sz val="9"/>
            <color indexed="81"/>
            <rFont val="Arial"/>
            <family val="2"/>
          </rPr>
          <t>Click on cell to enable drop down menu and select the number of buildings you would like to build</t>
        </r>
        <r>
          <rPr>
            <sz val="9"/>
            <color indexed="81"/>
            <rFont val="Tahoma"/>
            <family val="2"/>
          </rPr>
          <t>.</t>
        </r>
      </text>
    </comment>
    <comment ref="N9" authorId="0">
      <text>
        <r>
          <rPr>
            <sz val="9"/>
            <color indexed="81"/>
            <rFont val="Tahoma"/>
            <family val="2"/>
          </rPr>
          <t>Click on cell to enable drop down menu and select the number of buildings you would like to build.</t>
        </r>
      </text>
    </comment>
    <comment ref="R9" authorId="0">
      <text>
        <r>
          <rPr>
            <sz val="9"/>
            <color indexed="81"/>
            <rFont val="Tahoma"/>
            <family val="2"/>
          </rPr>
          <t>Click on cell to enable drop down menu and select the number of buildings you would like to build.</t>
        </r>
      </text>
    </comment>
    <comment ref="V9" authorId="0">
      <text>
        <r>
          <rPr>
            <sz val="9"/>
            <color indexed="81"/>
            <rFont val="Tahoma"/>
            <family val="2"/>
          </rPr>
          <t>Click on cell to enable drop down menu and select the number of buildings you would like to build.</t>
        </r>
      </text>
    </comment>
    <comment ref="Z9" authorId="0">
      <text>
        <r>
          <rPr>
            <sz val="9"/>
            <color indexed="81"/>
            <rFont val="Tahoma"/>
            <family val="2"/>
          </rPr>
          <t>Click on cell to enable drop down menu and select the number of buildings you would like to build.</t>
        </r>
      </text>
    </comment>
    <comment ref="F10" authorId="1">
      <text>
        <r>
          <rPr>
            <sz val="9"/>
            <color indexed="81"/>
            <rFont val="Tahoma"/>
            <family val="2"/>
          </rPr>
          <t>Click on cell to enable drop down menu and select the number of buildings you would like to build.</t>
        </r>
      </text>
    </comment>
    <comment ref="J10" authorId="1">
      <text>
        <r>
          <rPr>
            <sz val="9"/>
            <color indexed="81"/>
            <rFont val="Tahoma"/>
            <family val="2"/>
          </rPr>
          <t xml:space="preserve">Click on cell to enable drop down menu and select the number of buildings you would like to build
</t>
        </r>
      </text>
    </comment>
    <comment ref="F11" authorId="1">
      <text>
        <r>
          <rPr>
            <sz val="9"/>
            <color indexed="81"/>
            <rFont val="Tahoma"/>
            <family val="2"/>
          </rPr>
          <t>Click on cell to enable drop down menu and select the number of buildings you would like to build.</t>
        </r>
      </text>
    </comment>
    <comment ref="J11" authorId="1">
      <text>
        <r>
          <rPr>
            <b/>
            <sz val="9"/>
            <color indexed="81"/>
            <rFont val="Tahoma"/>
            <family val="2"/>
          </rPr>
          <t>Click on cell to enable drop down menu and select the number of buildings you would like to build</t>
        </r>
        <r>
          <rPr>
            <sz val="9"/>
            <color indexed="81"/>
            <rFont val="Tahoma"/>
            <family val="2"/>
          </rPr>
          <t xml:space="preserve">
</t>
        </r>
      </text>
    </comment>
    <comment ref="F13" authorId="1">
      <text>
        <r>
          <rPr>
            <sz val="9"/>
            <color indexed="81"/>
            <rFont val="Tahoma"/>
            <family val="2"/>
          </rPr>
          <t>Each Neighborhood  Retail  building must be 10K or "2" buiding increments. Developer may add  5K increment to 10K building for a total of 15K. Chose "3" for 15K.</t>
        </r>
      </text>
    </comment>
    <comment ref="J13" authorId="1">
      <text>
        <r>
          <rPr>
            <sz val="10"/>
            <color indexed="81"/>
            <rFont val="Arial"/>
            <family val="2"/>
          </rPr>
          <t>Each Neighborhood  Retail  building must be 10K or "2" buiding increments. Developer may add  5K increment to 10K building for a total of 15K. Chose "3" for 15K</t>
        </r>
        <r>
          <rPr>
            <sz val="9"/>
            <color indexed="81"/>
            <rFont val="Tahoma"/>
            <family val="2"/>
          </rPr>
          <t xml:space="preserve">.
</t>
        </r>
      </text>
    </comment>
    <comment ref="N13" authorId="1">
      <text>
        <r>
          <rPr>
            <i/>
            <sz val="10"/>
            <color indexed="81"/>
            <rFont val="Arial"/>
            <family val="2"/>
          </rPr>
          <t>Each Neighborhood  Retail  building must be 10K or "2" buiding increments. Developer may add  5K increment to 10K building for a total of 15K. Chose "3" for 15K.</t>
        </r>
        <r>
          <rPr>
            <sz val="9"/>
            <color indexed="81"/>
            <rFont val="Tahoma"/>
            <family val="2"/>
          </rPr>
          <t xml:space="preserve">
</t>
        </r>
      </text>
    </comment>
    <comment ref="R13" authorId="1">
      <text>
        <r>
          <rPr>
            <sz val="10"/>
            <color indexed="81"/>
            <rFont val="Arial"/>
            <family val="2"/>
          </rPr>
          <t>Each Neighborhood  Retail  building must be 10K or "2" buiding increments. Developer may add  5K increment to 10K building for a total of 15K. Chose "3" for 15K.</t>
        </r>
        <r>
          <rPr>
            <sz val="9"/>
            <color indexed="81"/>
            <rFont val="Tahoma"/>
            <family val="2"/>
          </rPr>
          <t xml:space="preserve">
</t>
        </r>
      </text>
    </comment>
    <comment ref="V13" authorId="1">
      <text>
        <r>
          <rPr>
            <sz val="10"/>
            <color indexed="81"/>
            <rFont val="Arial"/>
            <family val="2"/>
          </rPr>
          <t>Each Neighborhood  Retail  building must be 10K or "2" buiding increments. Developer may add  5K increment to 10K building for a total of 15K. Choose "3" for 15K.</t>
        </r>
        <r>
          <rPr>
            <sz val="9"/>
            <color indexed="81"/>
            <rFont val="Tahoma"/>
            <family val="2"/>
          </rPr>
          <t xml:space="preserve">
</t>
        </r>
      </text>
    </comment>
    <comment ref="Z13" authorId="1">
      <text>
        <r>
          <rPr>
            <sz val="10"/>
            <color indexed="81"/>
            <rFont val="Arial"/>
            <family val="2"/>
          </rPr>
          <t>Each Neighborhood  Retail  building must be 10K or "2" buiding increments. Developer may add  5K increment to 10K building for a total of 15K. Chose "3" for 15K.</t>
        </r>
        <r>
          <rPr>
            <sz val="9"/>
            <color indexed="81"/>
            <rFont val="Tahoma"/>
            <family val="2"/>
          </rPr>
          <t xml:space="preserve">
</t>
        </r>
      </text>
    </comment>
    <comment ref="F14" authorId="1">
      <text>
        <r>
          <rPr>
            <sz val="9"/>
            <color indexed="81"/>
            <rFont val="Tahoma"/>
            <family val="2"/>
          </rPr>
          <t>Click on cell to enable drop down menu and select the number of buildings you would like to build.</t>
        </r>
      </text>
    </comment>
    <comment ref="J14" authorId="1">
      <text>
        <r>
          <rPr>
            <b/>
            <sz val="9"/>
            <color indexed="81"/>
            <rFont val="Tahoma"/>
            <family val="2"/>
          </rPr>
          <t>Click on cell to enable drop down menu and select the number of buildings you would like to build</t>
        </r>
        <r>
          <rPr>
            <sz val="9"/>
            <color indexed="81"/>
            <rFont val="Tahoma"/>
            <family val="2"/>
          </rPr>
          <t xml:space="preserve">
</t>
        </r>
      </text>
    </comment>
    <comment ref="F15" authorId="1">
      <text>
        <r>
          <rPr>
            <sz val="9"/>
            <color indexed="81"/>
            <rFont val="Tahoma"/>
            <family val="2"/>
          </rPr>
          <t>Click on cell to enable drop down menu and select the number of buildings you would like to build.</t>
        </r>
      </text>
    </comment>
    <comment ref="J15" authorId="1">
      <text>
        <r>
          <rPr>
            <b/>
            <sz val="9"/>
            <color indexed="81"/>
            <rFont val="Tahoma"/>
            <family val="2"/>
          </rPr>
          <t>Click on cell to enable drop down menu and select the number of buildings you would like to build</t>
        </r>
        <r>
          <rPr>
            <sz val="9"/>
            <color indexed="81"/>
            <rFont val="Tahoma"/>
            <family val="2"/>
          </rPr>
          <t xml:space="preserve">
</t>
        </r>
      </text>
    </comment>
    <comment ref="O18" authorId="2">
      <text>
        <r>
          <rPr>
            <sz val="9"/>
            <color indexed="81"/>
            <rFont val="Arial"/>
            <family val="2"/>
          </rPr>
          <t>See Use Allocation Sheet to select use for this building</t>
        </r>
      </text>
    </comment>
    <comment ref="F21" authorId="1">
      <text>
        <r>
          <rPr>
            <sz val="9"/>
            <color indexed="81"/>
            <rFont val="Tahoma"/>
            <family val="2"/>
          </rPr>
          <t>Each bulding increment in the Amenties section represents 5K SF. The minimum  permitted size for Parks/Open Space equals 5K SF or "1" building unit. This equals one</t>
        </r>
        <r>
          <rPr>
            <u/>
            <sz val="9"/>
            <color indexed="81"/>
            <rFont val="Tahoma"/>
            <family val="2"/>
          </rPr>
          <t xml:space="preserve"> Lego square</t>
        </r>
        <r>
          <rPr>
            <sz val="9"/>
            <color indexed="81"/>
            <rFont val="Tahoma"/>
            <family val="2"/>
          </rPr>
          <t xml:space="preserve">. Developer may add in 5K increments,  10K SF or "2" building increments equals one Lego rectangle. </t>
        </r>
      </text>
    </comment>
    <comment ref="J21" authorId="1">
      <text>
        <r>
          <rPr>
            <b/>
            <sz val="10"/>
            <color indexed="81"/>
            <rFont val="Arial"/>
            <family val="2"/>
          </rPr>
          <t>Each bulding increment in the Amenties section represents 5K SF. The inimum  permitted size for Parks/Open Space equals 5K SF or "1" building unit. This equals one</t>
        </r>
        <r>
          <rPr>
            <b/>
            <u/>
            <sz val="10"/>
            <color indexed="81"/>
            <rFont val="Arial"/>
            <family val="2"/>
          </rPr>
          <t xml:space="preserve"> Lego square</t>
        </r>
        <r>
          <rPr>
            <b/>
            <sz val="10"/>
            <color indexed="81"/>
            <rFont val="Arial"/>
            <family val="2"/>
          </rPr>
          <t xml:space="preserve">. Developer may add in 5K increments,  10K SF or "2" building increments equals one Lego rectangle. 
</t>
        </r>
      </text>
    </comment>
    <comment ref="N21" authorId="1">
      <text>
        <r>
          <rPr>
            <b/>
            <sz val="10"/>
            <color indexed="81"/>
            <rFont val="Arial"/>
            <family val="2"/>
          </rPr>
          <t xml:space="preserve">Each bulding increment in the Amenties section represents 5K SF. The minimum  permitted size for Parks/Open Space equals 5K SF or "1" building unit. This equals one Lego square. Developer may add in 5K increments,  10K SF or "2" building increments equals one Lego rectangle. </t>
        </r>
        <r>
          <rPr>
            <sz val="9"/>
            <color indexed="81"/>
            <rFont val="Tahoma"/>
            <family val="2"/>
          </rPr>
          <t xml:space="preserve">
</t>
        </r>
      </text>
    </comment>
    <comment ref="R21" authorId="1">
      <text>
        <r>
          <rPr>
            <b/>
            <sz val="10"/>
            <color indexed="81"/>
            <rFont val="Arial"/>
            <family val="2"/>
          </rPr>
          <t xml:space="preserve">Each bulding increment in the Amenties section represents 5K SF. The inimum  permitted size for Parks/Open Space equals 5K SF or "1" building unit. This equals one Lego square. Developer may add in 5K increments,  10K SF or "2" building increments equals one Lego rectangle. 
</t>
        </r>
      </text>
    </comment>
    <comment ref="V21" authorId="1">
      <text>
        <r>
          <rPr>
            <b/>
            <sz val="10"/>
            <color indexed="81"/>
            <rFont val="Arial"/>
            <family val="2"/>
          </rPr>
          <t xml:space="preserve">Each bulding increment in the Amenties section represents 5K SF. The inimum  permitted size for Parks/Open Space equals 5K SF or "1" building unit. This equals one Lego square. Developer may add in 5K increments,  10K SF or "2" building increments equals one Lego rectangle. </t>
        </r>
        <r>
          <rPr>
            <sz val="9"/>
            <color indexed="81"/>
            <rFont val="Tahoma"/>
            <family val="2"/>
          </rPr>
          <t xml:space="preserve">
</t>
        </r>
      </text>
    </comment>
    <comment ref="Z21" authorId="1">
      <text>
        <r>
          <rPr>
            <sz val="10"/>
            <color indexed="81"/>
            <rFont val="Arial"/>
            <family val="2"/>
          </rPr>
          <t xml:space="preserve">Each bulding increment in the Amenties section represents 5K SF. The inimum  permitted size for Parks/Open Space equals 5K SF or "1" building unit. This equals one Lego square. Developer may add in 5K increments,  10K SF or "2" building increments equals one Lego rectangle. </t>
        </r>
        <r>
          <rPr>
            <sz val="9"/>
            <color indexed="81"/>
            <rFont val="Tahoma"/>
            <family val="2"/>
          </rPr>
          <t xml:space="preserve">
</t>
        </r>
      </text>
    </comment>
    <comment ref="F22" authorId="1">
      <text>
        <r>
          <rPr>
            <sz val="9"/>
            <color indexed="81"/>
            <rFont val="Tahoma"/>
            <family val="2"/>
          </rPr>
          <t>S</t>
        </r>
        <r>
          <rPr>
            <sz val="10"/>
            <color indexed="81"/>
            <rFont val="Arial"/>
            <family val="2"/>
          </rPr>
          <t>ports fields/courts are 10K SF and may only be increased in 10K SF increments.  Select "2" for one park, "4" for two parks, etc</t>
        </r>
      </text>
    </comment>
    <comment ref="J22" authorId="1">
      <text>
        <r>
          <rPr>
            <sz val="9"/>
            <color indexed="81"/>
            <rFont val="Tahoma"/>
            <family val="2"/>
          </rPr>
          <t>Sports fields/courts are 10K SF and may only be increased in 10K SF increments.  Select "2" for one park, "4" for two parks, etc</t>
        </r>
      </text>
    </comment>
    <comment ref="N22" authorId="1">
      <text>
        <r>
          <rPr>
            <b/>
            <sz val="10"/>
            <color indexed="81"/>
            <rFont val="Arial"/>
            <family val="2"/>
          </rPr>
          <t>Sports fields/courts are 10K SF and may only be increased in 10K SF increments.  Select "2" for one park, "4" for two parks, etc</t>
        </r>
        <r>
          <rPr>
            <sz val="9"/>
            <color indexed="81"/>
            <rFont val="Tahoma"/>
            <family val="2"/>
          </rPr>
          <t xml:space="preserve">
</t>
        </r>
      </text>
    </comment>
    <comment ref="R22" authorId="1">
      <text>
        <r>
          <rPr>
            <b/>
            <sz val="10"/>
            <color indexed="81"/>
            <rFont val="Arial"/>
            <family val="2"/>
          </rPr>
          <t>Sports fields/courts are 10K SF and may only be increased in 10K SF increments.  Select "2" for one park, "4" for two parks, etc</t>
        </r>
        <r>
          <rPr>
            <sz val="9"/>
            <color indexed="81"/>
            <rFont val="Tahoma"/>
            <family val="2"/>
          </rPr>
          <t xml:space="preserve">
</t>
        </r>
      </text>
    </comment>
    <comment ref="V22" authorId="1">
      <text>
        <r>
          <rPr>
            <sz val="9"/>
            <color indexed="81"/>
            <rFont val="Tahoma"/>
            <family val="2"/>
          </rPr>
          <t xml:space="preserve">Sports fields/courts are 10K SF and may only be increased in 10K SF increments.  Select "2" for one park, "4" for two courts, etc
</t>
        </r>
      </text>
    </comment>
    <comment ref="Z22" authorId="1">
      <text>
        <r>
          <rPr>
            <b/>
            <sz val="10"/>
            <color indexed="81"/>
            <rFont val="Arial"/>
            <family val="2"/>
          </rPr>
          <t>Sports fields/courts are 10K SF and may only be increased in 10K SF increments.  Select "2" for one park, "4" for two parks, etc</t>
        </r>
        <r>
          <rPr>
            <sz val="9"/>
            <color indexed="81"/>
            <rFont val="Tahoma"/>
            <family val="2"/>
          </rPr>
          <t xml:space="preserve">
</t>
        </r>
      </text>
    </comment>
    <comment ref="F23" authorId="1">
      <text>
        <r>
          <rPr>
            <sz val="9"/>
            <color indexed="81"/>
            <rFont val="Tahoma"/>
            <family val="2"/>
          </rPr>
          <t>Skateparks are 10K SF and may only be increased in 10K SF increments.  Select "2" for one park, "4" for two parks, etc</t>
        </r>
      </text>
    </comment>
    <comment ref="J23" authorId="1">
      <text>
        <r>
          <rPr>
            <sz val="9"/>
            <color indexed="81"/>
            <rFont val="Tahoma"/>
            <family val="2"/>
          </rPr>
          <t>Skateparks are 10K SF and may only be increased in 10K SF increments.  Select "2" for one park, "4" for two parks, etc</t>
        </r>
      </text>
    </comment>
    <comment ref="N23" authorId="1">
      <text>
        <r>
          <rPr>
            <b/>
            <sz val="10"/>
            <color indexed="81"/>
            <rFont val="Arial"/>
            <family val="2"/>
          </rPr>
          <t>Skate Parks are 10K SF and may only be increased in 10K SF increments.  Select "2" for one park, "4" for two parks, etc</t>
        </r>
        <r>
          <rPr>
            <sz val="9"/>
            <color indexed="81"/>
            <rFont val="Tahoma"/>
            <family val="2"/>
          </rPr>
          <t xml:space="preserve">
</t>
        </r>
      </text>
    </comment>
    <comment ref="R23" authorId="1">
      <text>
        <r>
          <rPr>
            <b/>
            <sz val="10"/>
            <color indexed="81"/>
            <rFont val="Arial"/>
            <family val="2"/>
          </rPr>
          <t>Sports fields/courts are 10K SF and may only be increased in 10K SF increments.  Select "2" for one park, "4" for two parks, etc</t>
        </r>
        <r>
          <rPr>
            <sz val="9"/>
            <color indexed="81"/>
            <rFont val="Tahoma"/>
            <family val="2"/>
          </rPr>
          <t xml:space="preserve">
</t>
        </r>
      </text>
    </comment>
    <comment ref="V23" authorId="1">
      <text>
        <r>
          <rPr>
            <sz val="10"/>
            <color indexed="81"/>
            <rFont val="Arial"/>
            <family val="2"/>
          </rPr>
          <t>Sports fields/courts are 10K SF and may only be increased in 10K SF increments.  Select "2" for one park, "4" for two parks, etc</t>
        </r>
        <r>
          <rPr>
            <sz val="9"/>
            <color indexed="81"/>
            <rFont val="Tahoma"/>
            <family val="2"/>
          </rPr>
          <t xml:space="preserve">
</t>
        </r>
      </text>
    </comment>
    <comment ref="Z23" authorId="1">
      <text>
        <r>
          <rPr>
            <b/>
            <sz val="10"/>
            <color indexed="81"/>
            <rFont val="Arial"/>
            <family val="2"/>
          </rPr>
          <t xml:space="preserve">Skate Parks are 10K SF and may only be increased in 10K SF increments.  Select "2" for one park, "4" for two parks, etc
</t>
        </r>
        <r>
          <rPr>
            <sz val="9"/>
            <color indexed="81"/>
            <rFont val="Tahoma"/>
            <family val="2"/>
          </rPr>
          <t xml:space="preserve">
</t>
        </r>
      </text>
    </comment>
  </commentList>
</comments>
</file>

<file path=xl/comments3.xml><?xml version="1.0" encoding="utf-8"?>
<comments xmlns="http://schemas.openxmlformats.org/spreadsheetml/2006/main">
  <authors>
    <author>Steve Chamberline</author>
    <author>Dorian Farhang</author>
    <author>Paula Blasier</author>
  </authors>
  <commentList>
    <comment ref="D7" authorId="0">
      <text>
        <r>
          <rPr>
            <b/>
            <sz val="10"/>
            <color indexed="81"/>
            <rFont val="Arial"/>
            <family val="2"/>
          </rPr>
          <t xml:space="preserve">Input percent Affordable. Market Rate will calculate automatically </t>
        </r>
        <r>
          <rPr>
            <sz val="8"/>
            <color indexed="81"/>
            <rFont val="Tahoma"/>
            <family val="2"/>
          </rPr>
          <t xml:space="preserve">
</t>
        </r>
      </text>
    </comment>
    <comment ref="D8" authorId="0">
      <text>
        <r>
          <rPr>
            <sz val="9"/>
            <color indexed="81"/>
            <rFont val="Arial"/>
            <family val="2"/>
          </rPr>
          <t>I</t>
        </r>
        <r>
          <rPr>
            <b/>
            <sz val="10"/>
            <color indexed="81"/>
            <rFont val="Arial"/>
            <family val="2"/>
          </rPr>
          <t xml:space="preserve">nput percent Affordable. Market Rate will calculate automatically </t>
        </r>
      </text>
    </comment>
    <comment ref="C13" authorId="1">
      <text>
        <r>
          <rPr>
            <b/>
            <sz val="10"/>
            <color indexed="81"/>
            <rFont val="Arial"/>
            <family val="2"/>
          </rPr>
          <t>DO NOT INPUT IF CELLS ARE GRAY.  IF YOU INTENDED TO REHAB PHOENIX, RETURN TO DEVELOPMENT BY BLOCK AND SELECT PHOENIX HOTEL. If you rehabbed the Phoenix Hotel, enter amount of office square footage here.  Amount entered must not exceed 60,000 sf.</t>
        </r>
      </text>
    </comment>
    <comment ref="D13" authorId="1">
      <text>
        <r>
          <rPr>
            <b/>
            <sz val="10"/>
            <color indexed="81"/>
            <rFont val="Arial"/>
            <family val="2"/>
          </rPr>
          <t>DO NOT INPUT IF CELLS ARE GRAY.  RETURN TO DEVELOPMENT BY BLOCK AND SELECT PHOENIX HOTELIf you rehabbed the  Phoenix Hotel, enter amount of retail square footage here.  Amount entered must not exceed 18,000  S</t>
        </r>
        <r>
          <rPr>
            <sz val="9"/>
            <color indexed="81"/>
            <rFont val="Arial"/>
            <family val="2"/>
          </rPr>
          <t>F.</t>
        </r>
      </text>
    </comment>
    <comment ref="D16" authorId="1">
      <text>
        <r>
          <rPr>
            <sz val="9"/>
            <color indexed="81"/>
            <rFont val="Arial"/>
            <family val="2"/>
          </rPr>
          <t>Enter amount of retail square footage here.  Amount entered must not exceed 12,000 sf.</t>
        </r>
      </text>
    </comment>
    <comment ref="B17" authorId="2">
      <text>
        <r>
          <rPr>
            <b/>
            <sz val="10"/>
            <color indexed="81"/>
            <rFont val="Arial"/>
            <family val="2"/>
          </rPr>
          <t>Select from drop-down menu in "Community" Column</t>
        </r>
        <r>
          <rPr>
            <sz val="9"/>
            <color indexed="81"/>
            <rFont val="Tahoma"/>
            <family val="2"/>
          </rPr>
          <t xml:space="preserve">
</t>
        </r>
      </text>
    </comment>
    <comment ref="E17" authorId="1">
      <text>
        <r>
          <rPr>
            <b/>
            <sz val="10"/>
            <color indexed="81"/>
            <rFont val="Arial"/>
            <family val="2"/>
          </rPr>
          <t>Select the square footage of this space from the drop down box</t>
        </r>
        <r>
          <rPr>
            <sz val="9"/>
            <color indexed="81"/>
            <rFont val="Arial"/>
            <family val="2"/>
          </rPr>
          <t>.</t>
        </r>
      </text>
    </comment>
    <comment ref="E18" authorId="1">
      <text>
        <r>
          <rPr>
            <sz val="9"/>
            <color indexed="81"/>
            <rFont val="Arial"/>
            <family val="2"/>
          </rPr>
          <t>Please select the square footage of this space from the drop down box.</t>
        </r>
      </text>
    </comment>
    <comment ref="E19" authorId="1">
      <text>
        <r>
          <rPr>
            <sz val="9"/>
            <color indexed="81"/>
            <rFont val="Arial"/>
            <family val="2"/>
          </rPr>
          <t>Please select the square footage of this space from the drop down box.</t>
        </r>
      </text>
    </comment>
    <comment ref="E20" authorId="1">
      <text>
        <r>
          <rPr>
            <sz val="9"/>
            <color indexed="81"/>
            <rFont val="Arial"/>
            <family val="2"/>
          </rPr>
          <t>Please select the square footage of this space from the drop down box.</t>
        </r>
      </text>
    </comment>
    <comment ref="E21" authorId="1">
      <text>
        <r>
          <rPr>
            <sz val="9"/>
            <color indexed="81"/>
            <rFont val="Arial"/>
            <family val="2"/>
          </rPr>
          <t>Please select the square footage of this space from the drop down box.</t>
        </r>
      </text>
    </comment>
    <comment ref="E22" authorId="1">
      <text>
        <r>
          <rPr>
            <sz val="9"/>
            <color indexed="81"/>
            <rFont val="Arial"/>
            <family val="2"/>
          </rPr>
          <t>Please select the square footage of this space from the drop down box.</t>
        </r>
      </text>
    </comment>
    <comment ref="E23" authorId="1">
      <text>
        <r>
          <rPr>
            <sz val="9"/>
            <color indexed="81"/>
            <rFont val="Arial"/>
            <family val="2"/>
          </rPr>
          <t>Please select the square footage of this space from the drop down box.</t>
        </r>
      </text>
    </comment>
    <comment ref="E24" authorId="1">
      <text>
        <r>
          <rPr>
            <sz val="9"/>
            <color indexed="81"/>
            <rFont val="Arial"/>
            <family val="2"/>
          </rPr>
          <t>Please select the square footage of this space from the drop down box.</t>
        </r>
      </text>
    </comment>
    <comment ref="E25" authorId="1">
      <text>
        <r>
          <rPr>
            <sz val="9"/>
            <color indexed="81"/>
            <rFont val="Arial"/>
            <family val="2"/>
          </rPr>
          <t>Please select the square footage of this space from the drop down box.</t>
        </r>
      </text>
    </comment>
    <comment ref="E26" authorId="1">
      <text>
        <r>
          <rPr>
            <sz val="9"/>
            <color indexed="81"/>
            <rFont val="Arial"/>
            <family val="2"/>
          </rPr>
          <t>Please select the square footage of this space from the drop down box.</t>
        </r>
      </text>
    </comment>
    <comment ref="E27" authorId="1">
      <text>
        <r>
          <rPr>
            <sz val="9"/>
            <color indexed="81"/>
            <rFont val="Arial"/>
            <family val="2"/>
          </rPr>
          <t>Please select the square footage of this space from the drop down box.</t>
        </r>
      </text>
    </comment>
    <comment ref="E28" authorId="1">
      <text>
        <r>
          <rPr>
            <sz val="9"/>
            <color indexed="81"/>
            <rFont val="Arial"/>
            <family val="2"/>
          </rPr>
          <t>Please select the square footage of this space from the drop down box.</t>
        </r>
      </text>
    </comment>
    <comment ref="E29" authorId="1">
      <text>
        <r>
          <rPr>
            <sz val="9"/>
            <color indexed="81"/>
            <rFont val="Arial"/>
            <family val="2"/>
          </rPr>
          <t>Please select the square footage of this space from the drop down box.</t>
        </r>
      </text>
    </comment>
    <comment ref="B30" authorId="2">
      <text>
        <r>
          <rPr>
            <sz val="9"/>
            <color indexed="81"/>
            <rFont val="Tahoma"/>
            <family val="2"/>
          </rPr>
          <t xml:space="preserve">DO NOT input Office SF in Office row of gray cells. The program will calculate the amount of office space remaining after you input Retail &amp; Community SF
</t>
        </r>
      </text>
    </comment>
    <comment ref="B34" authorId="2">
      <text>
        <r>
          <rPr>
            <b/>
            <sz val="10"/>
            <color indexed="81"/>
            <rFont val="Arial"/>
            <family val="2"/>
          </rPr>
          <t>DO NOT INPUT IF CELLS ARE GRAY.  IF YOU INTENDED TO REHAB VIC ROW, RETURN TO DEVELOPMENT BY BLOCK and select Vic Row,   Amount entered must not exceed 18,000 sf.</t>
        </r>
      </text>
    </comment>
    <comment ref="D34" authorId="1">
      <text>
        <r>
          <rPr>
            <sz val="9"/>
            <color indexed="81"/>
            <rFont val="Arial"/>
            <family val="2"/>
          </rPr>
          <t>This cell must be entered as 0 or left blank if no retail is constructed.</t>
        </r>
      </text>
    </comment>
    <comment ref="H34" authorId="2">
      <text>
        <r>
          <rPr>
            <b/>
            <sz val="10"/>
            <color indexed="81"/>
            <rFont val="Arial"/>
            <family val="2"/>
          </rPr>
          <t>IF YOU HAVE DEMOLISHED VIC ROW, SET "DELETE" AND NUMBERS IN THE RETAIL  AND OFFICE (REMAINDER) BOXES -- EVEN THOUGH THEY ARE GRAY</t>
        </r>
        <r>
          <rPr>
            <sz val="9"/>
            <color indexed="81"/>
            <rFont val="Tahoma"/>
            <family val="2"/>
          </rPr>
          <t xml:space="preserve">
</t>
        </r>
      </text>
    </comment>
    <comment ref="B35" authorId="2">
      <text>
        <r>
          <rPr>
            <sz val="9"/>
            <color indexed="81"/>
            <rFont val="Tahoma"/>
            <family val="2"/>
          </rPr>
          <t>Enter in "Community" Column</t>
        </r>
      </text>
    </comment>
    <comment ref="B36" authorId="2">
      <text>
        <r>
          <rPr>
            <sz val="9"/>
            <color indexed="81"/>
            <rFont val="Tahoma"/>
            <family val="2"/>
          </rPr>
          <t xml:space="preserve">Enter in "Community" Column
</t>
        </r>
      </text>
    </comment>
    <comment ref="B37" authorId="2">
      <text>
        <r>
          <rPr>
            <b/>
            <sz val="10"/>
            <color indexed="81"/>
            <rFont val="Arial"/>
            <family val="2"/>
          </rPr>
          <t>DO NOT input Office SF in Office row of gray cells. The program will calculate the amount of office space remaining after you input Retail &amp; Community SF</t>
        </r>
      </text>
    </comment>
  </commentList>
</comments>
</file>

<file path=xl/comments4.xml><?xml version="1.0" encoding="utf-8"?>
<comments xmlns="http://schemas.openxmlformats.org/spreadsheetml/2006/main">
  <authors>
    <author>Steve Chamberline</author>
  </authors>
  <commentList>
    <comment ref="D5" authorId="0">
      <text>
        <r>
          <rPr>
            <b/>
            <sz val="10"/>
            <color indexed="81"/>
            <rFont val="Arial"/>
            <family val="2"/>
          </rPr>
          <t>Affordable units require more complex financing and documentation and as a result are more expensive.</t>
        </r>
        <r>
          <rPr>
            <b/>
            <sz val="8"/>
            <color indexed="81"/>
            <rFont val="Tahoma"/>
            <family val="2"/>
          </rPr>
          <t xml:space="preserve">
</t>
        </r>
      </text>
    </comment>
    <comment ref="D7" authorId="0">
      <text>
        <r>
          <rPr>
            <b/>
            <sz val="10"/>
            <color indexed="81"/>
            <rFont val="Arial"/>
            <family val="2"/>
          </rPr>
          <t>Affordable units require more complex financing and documentation and as a result are more expensive.</t>
        </r>
      </text>
    </comment>
  </commentList>
</comments>
</file>

<file path=xl/comments5.xml><?xml version="1.0" encoding="utf-8"?>
<comments xmlns="http://schemas.openxmlformats.org/spreadsheetml/2006/main">
  <authors>
    <author>Steve Chamberline</author>
    <author>Dorian Farhang</author>
  </authors>
  <commentList>
    <comment ref="G13" authorId="0">
      <text>
        <r>
          <rPr>
            <b/>
            <sz val="10"/>
            <color indexed="81"/>
            <rFont val="Arial"/>
            <family val="2"/>
          </rPr>
          <t>Office space in York, Phoenix and Victorian Low Rise Office uses and are included in this Years to Absorb category</t>
        </r>
      </text>
    </comment>
    <comment ref="G19" authorId="1">
      <text>
        <r>
          <rPr>
            <b/>
            <sz val="9"/>
            <color indexed="81"/>
            <rFont val="Tahoma"/>
            <family val="2"/>
          </rPr>
          <t>Retail space in York, Phoenix and Victorian Neighborhood Retail  uses and are included in this Years to Absorb category</t>
        </r>
      </text>
    </comment>
  </commentList>
</comments>
</file>

<file path=xl/comments6.xml><?xml version="1.0" encoding="utf-8"?>
<comments xmlns="http://schemas.openxmlformats.org/spreadsheetml/2006/main">
  <authors>
    <author>Joe Karp</author>
  </authors>
  <commentList>
    <comment ref="I48" authorId="0">
      <text>
        <r>
          <rPr>
            <b/>
            <sz val="10"/>
            <color indexed="81"/>
            <rFont val="Calibri"/>
            <family val="2"/>
            <scheme val="minor"/>
          </rPr>
          <t>This is the project revenues generated  to the City after 10 years.</t>
        </r>
      </text>
    </comment>
  </commentList>
</comments>
</file>

<file path=xl/sharedStrings.xml><?xml version="1.0" encoding="utf-8"?>
<sst xmlns="http://schemas.openxmlformats.org/spreadsheetml/2006/main" count="929" uniqueCount="321">
  <si>
    <t>UrbanPlan</t>
  </si>
  <si>
    <t>COLOR CODE FOR CELLS:</t>
  </si>
  <si>
    <t xml:space="preserve"> = </t>
  </si>
  <si>
    <t>Color Code</t>
  </si>
  <si>
    <t>=</t>
  </si>
  <si>
    <t>Development by Block</t>
  </si>
  <si>
    <t>WORKSHEET #1: DEVELOPMENT BY BLOCK (INPUT PAGE)</t>
  </si>
  <si>
    <t>Block #</t>
  </si>
  <si>
    <t>Building Descriptions and Parking</t>
  </si>
  <si>
    <t>BLOCK #2 (120,000 SF)</t>
  </si>
  <si>
    <t>BLOCK #3 (80,000 SF)</t>
  </si>
  <si>
    <t>BLOCK #4 (80,000 SF)</t>
  </si>
  <si>
    <t>BLOCK #5 (60,000 SF)</t>
  </si>
  <si>
    <t>BLOCK #6 (40,000 SF)</t>
  </si>
  <si>
    <t>Total Project</t>
  </si>
  <si>
    <t>Land Area</t>
  </si>
  <si>
    <t>Residential</t>
  </si>
  <si>
    <t>Footprint SF</t>
  </si>
  <si>
    <t>Total Units</t>
  </si>
  <si>
    <t>Parking Included</t>
  </si>
  <si>
    <t xml:space="preserve"> - Podium Apartments </t>
  </si>
  <si>
    <t xml:space="preserve"> - Townhouses</t>
  </si>
  <si>
    <t xml:space="preserve"> - Luxury High Rise Condos</t>
  </si>
  <si>
    <t>Program</t>
  </si>
  <si>
    <t xml:space="preserve"> - Homeless Shelter</t>
  </si>
  <si>
    <t>Block 1</t>
  </si>
  <si>
    <t>Office</t>
  </si>
  <si>
    <t>Building SF</t>
  </si>
  <si>
    <t>Parking Required</t>
  </si>
  <si>
    <t>Total SF</t>
  </si>
  <si>
    <t>Block 2</t>
  </si>
  <si>
    <t xml:space="preserve"> - Low-Rise Office Building</t>
  </si>
  <si>
    <t>Block 3</t>
  </si>
  <si>
    <t xml:space="preserve"> - Mid-Rise Office Building</t>
  </si>
  <si>
    <t>Block 4</t>
  </si>
  <si>
    <t>Retail</t>
  </si>
  <si>
    <t>Block 5</t>
  </si>
  <si>
    <t xml:space="preserve"> - Neighborhood Retail</t>
  </si>
  <si>
    <t>Block 6</t>
  </si>
  <si>
    <t xml:space="preserve"> - Grocery/Drug</t>
  </si>
  <si>
    <t xml:space="preserve"> - QMart</t>
  </si>
  <si>
    <t>Historic Buildings - Adaptive Use</t>
  </si>
  <si>
    <t>Footprint</t>
  </si>
  <si>
    <t xml:space="preserve"> - Phoenix Hotel - Block#2</t>
  </si>
  <si>
    <t xml:space="preserve"> - York Dry Goods - Block #3</t>
  </si>
  <si>
    <t xml:space="preserve"> - Victorian Row - Block #4</t>
  </si>
  <si>
    <t>Amenities</t>
  </si>
  <si>
    <t xml:space="preserve"> - Park/Plaza</t>
  </si>
  <si>
    <t xml:space="preserve"> - Sports Fields &amp; Courts</t>
  </si>
  <si>
    <t xml:space="preserve"> - Skate Park</t>
  </si>
  <si>
    <t>Parking</t>
  </si>
  <si>
    <t>Parking Spaces</t>
  </si>
  <si>
    <t>Total Spaces</t>
  </si>
  <si>
    <t>n/a</t>
  </si>
  <si>
    <t xml:space="preserve"> - Qmart Structured Parking</t>
  </si>
  <si>
    <t>Total Footprint</t>
  </si>
  <si>
    <t>% Affordable</t>
  </si>
  <si>
    <t>% Market Rate</t>
  </si>
  <si>
    <t>Total</t>
  </si>
  <si>
    <t>Homeless Shelter</t>
  </si>
  <si>
    <t xml:space="preserve"> - Phoenix Hotel</t>
  </si>
  <si>
    <t>Market Sheet</t>
  </si>
  <si>
    <t>Value Sheet</t>
  </si>
  <si>
    <t>X Cost per Unit</t>
  </si>
  <si>
    <t>Construction Cost</t>
  </si>
  <si>
    <t>X</t>
  </si>
  <si>
    <t>% City Share of Cost</t>
  </si>
  <si>
    <t>Total City Cost</t>
  </si>
  <si>
    <t>Dwelling Units</t>
  </si>
  <si>
    <t>Cost per SF</t>
  </si>
  <si>
    <t xml:space="preserve"> - Affordable Podium Apartments </t>
  </si>
  <si>
    <t xml:space="preserve"> - Market-Rate Podium Apartments </t>
  </si>
  <si>
    <t xml:space="preserve"> - Affordable Townhouses</t>
  </si>
  <si>
    <t xml:space="preserve"> - Market-Rate Townhouses</t>
  </si>
  <si>
    <t xml:space="preserve"> - Phoenix Hotel/Homeless Shelter</t>
  </si>
  <si>
    <t xml:space="preserve"> - New Homeless Shelter</t>
  </si>
  <si>
    <t xml:space="preserve"> - Phoenix Hotel/Office</t>
  </si>
  <si>
    <t xml:space="preserve"> - York Dry Goods/Office</t>
  </si>
  <si>
    <t xml:space="preserve"> - Victorian Row/Office</t>
  </si>
  <si>
    <t xml:space="preserve"> - York Dry Goods/Retail</t>
  </si>
  <si>
    <t xml:space="preserve"> - Victorian Row/Retail</t>
  </si>
  <si>
    <t>Community Facilities</t>
  </si>
  <si>
    <t>Total Cost</t>
  </si>
  <si>
    <t xml:space="preserve"> - Homeless Shelter Fund Fee</t>
  </si>
  <si>
    <t>City Cost of Land</t>
  </si>
  <si>
    <t>SF per Job</t>
  </si>
  <si>
    <t>Total Jobs</t>
  </si>
  <si>
    <t>Years to Absorb</t>
  </si>
  <si>
    <t>Weight</t>
  </si>
  <si>
    <t>Annual Absorption</t>
  </si>
  <si>
    <t xml:space="preserve"> - Low-Rise Office Building </t>
  </si>
  <si>
    <t xml:space="preserve">  - Mid-Rise Office Building</t>
  </si>
  <si>
    <t xml:space="preserve"> - Phoenix Hotel/Office </t>
  </si>
  <si>
    <t>in Low-Rise</t>
  </si>
  <si>
    <t xml:space="preserve"> - York Dry Goods/Office </t>
  </si>
  <si>
    <t xml:space="preserve"> - Victorian Row/Office </t>
  </si>
  <si>
    <t xml:space="preserve"> - Neighborhood Retail </t>
  </si>
  <si>
    <t xml:space="preserve"> - Grocery/Drug &amp; QMart</t>
  </si>
  <si>
    <t xml:space="preserve">in Neigh. Ret.  </t>
  </si>
  <si>
    <t xml:space="preserve">  - Victorian Row/Retail</t>
  </si>
  <si>
    <t>Value per Unit</t>
  </si>
  <si>
    <t>Market Value</t>
  </si>
  <si>
    <t>-</t>
  </si>
  <si>
    <t xml:space="preserve"> Developer Profit</t>
  </si>
  <si>
    <t>In Low-Rise</t>
  </si>
  <si>
    <t>In Neigh. Ret.</t>
  </si>
  <si>
    <t>Developer Cost of Land</t>
  </si>
  <si>
    <t>Assessed Value per Unit</t>
  </si>
  <si>
    <t xml:space="preserve"> = Tax Base</t>
  </si>
  <si>
    <t>Total Tax Base</t>
  </si>
  <si>
    <t>Total Tax Revenues</t>
  </si>
  <si>
    <t>City Revenue from Sale of Land</t>
  </si>
  <si>
    <t>Total City Revenue</t>
  </si>
  <si>
    <t>City Subsidy</t>
  </si>
  <si>
    <t>Net Value</t>
  </si>
  <si>
    <t>...........................Allocation..........................</t>
  </si>
  <si>
    <t>Use Program</t>
  </si>
  <si>
    <t>Use</t>
  </si>
  <si>
    <t>Affordable Residential</t>
  </si>
  <si>
    <t>Units</t>
  </si>
  <si>
    <t xml:space="preserve"> less Construction Cost</t>
  </si>
  <si>
    <t xml:space="preserve"> less Payment for Land</t>
  </si>
  <si>
    <t xml:space="preserve"> less Absorption Adjustment</t>
  </si>
  <si>
    <t>Total Affordable Residential</t>
  </si>
  <si>
    <t xml:space="preserve"> plus City Subsidy</t>
  </si>
  <si>
    <t>Developer Profit</t>
  </si>
  <si>
    <t>Market Residential</t>
  </si>
  <si>
    <t>Rate of Return</t>
  </si>
  <si>
    <t>Total Market Residential</t>
  </si>
  <si>
    <t>Job Creation</t>
  </si>
  <si>
    <t>Beds</t>
  </si>
  <si>
    <t>Office Jobs</t>
  </si>
  <si>
    <t>Total Shelter Beds</t>
  </si>
  <si>
    <t>City Revenue</t>
  </si>
  <si>
    <t>Total Tax Revenue</t>
  </si>
  <si>
    <t>Total Office</t>
  </si>
  <si>
    <t>Market Rate</t>
  </si>
  <si>
    <t>Affordable</t>
  </si>
  <si>
    <t>Total Retail</t>
  </si>
  <si>
    <t>% of Site Area</t>
  </si>
  <si>
    <t>Park/Plaza</t>
  </si>
  <si>
    <t>Sports Fields &amp; Courts</t>
  </si>
  <si>
    <t>Total Community Facilities</t>
  </si>
  <si>
    <t>Skate Park</t>
  </si>
  <si>
    <t>Total Land for Amenities</t>
  </si>
  <si>
    <t>Total Amenities</t>
  </si>
  <si>
    <t>Spaces</t>
  </si>
  <si>
    <t>Total Parking</t>
  </si>
  <si>
    <t xml:space="preserve">      Office (remainder)</t>
  </si>
  <si>
    <t xml:space="preserve"> - York Dry Goods/Community Facilities</t>
  </si>
  <si>
    <t xml:space="preserve">  - Victorian Row/University Classrooms</t>
  </si>
  <si>
    <t xml:space="preserve"> - Phoenix Hotel/Retail</t>
  </si>
  <si>
    <t xml:space="preserve"> - Phoenix Hotel/Retail </t>
  </si>
  <si>
    <t xml:space="preserve">  - York Dry Goods</t>
  </si>
  <si>
    <t>Absorption Adjustment</t>
  </si>
  <si>
    <t>in Grocery</t>
  </si>
  <si>
    <t>Retail/Entry Level  Jobs</t>
  </si>
  <si>
    <t>Community Facilities Jobs</t>
  </si>
  <si>
    <t xml:space="preserve">      Retail (12,000 max. 1st fl only)</t>
  </si>
  <si>
    <t>Market 
Value</t>
  </si>
  <si>
    <t xml:space="preserve"> Developer 
Cost</t>
  </si>
  <si>
    <t>Annual City 
Lease Payment</t>
  </si>
  <si>
    <t xml:space="preserve"> - York Dry Goods (Not Subsidized)</t>
  </si>
  <si>
    <t xml:space="preserve">      Day Care Center (5,000 sq. ft.)</t>
  </si>
  <si>
    <t xml:space="preserve">      Drug Treatment Center (2,000 sq. ft.)</t>
  </si>
  <si>
    <t xml:space="preserve">      Juv. Offender Counseling (1,000 sq. ft.)</t>
  </si>
  <si>
    <t xml:space="preserve">      Police Sub-station (1,500 sq. ft.)</t>
  </si>
  <si>
    <t xml:space="preserve">      Senior Center (10,000 sq. ft.)</t>
  </si>
  <si>
    <t xml:space="preserve">      Teen Center (5,000 sq. ft.)</t>
  </si>
  <si>
    <t xml:space="preserve">      Artist Studios (10,000 sq. ft.) (footnote  3 &amp; footnote 5)</t>
  </si>
  <si>
    <t xml:space="preserve">      Univ. Classrooms (20,000 sq. ft.) (footnote  4 &amp; footnote  5)</t>
  </si>
  <si>
    <t xml:space="preserve">      Univ. Classrooms (20,000 sq. ft.) (footnote  4)</t>
  </si>
  <si>
    <t xml:space="preserve">      Retail (18,000 sq. ft. max.)</t>
  </si>
  <si>
    <t xml:space="preserve"> - Podium Apartments (footnote 1)</t>
  </si>
  <si>
    <t xml:space="preserve"> - Townhouses (footnote 1)</t>
  </si>
  <si>
    <t>Footnotes:</t>
  </si>
  <si>
    <t>Fee to City for Relocating Shelter</t>
  </si>
  <si>
    <t xml:space="preserve"> - York Dry Goods (City subsidized)</t>
  </si>
  <si>
    <t xml:space="preserve">      Community Art Space (2,000 sq. ft.) (footnote 3)</t>
  </si>
  <si>
    <t xml:space="preserve"> - York Dry Goods/Univ. &amp; Artist Studio </t>
  </si>
  <si>
    <t xml:space="preserve"> - Victorian Row/Univ. &amp; Artist Studios</t>
  </si>
  <si>
    <t xml:space="preserve"> - Victorian Row/Univ. and/or Artist Studios</t>
  </si>
  <si>
    <t xml:space="preserve">      Yorktown Bike Share (5,000 sq. ft.)</t>
  </si>
  <si>
    <t xml:space="preserve">      Community Meeting/Event Space (7,000 sq. ft.)</t>
  </si>
  <si>
    <t xml:space="preserve">      Computer/Digital Center  (2,000 sq. ft.)</t>
  </si>
  <si>
    <t>Input Cell.</t>
  </si>
  <si>
    <t>General Information Cells.</t>
  </si>
  <si>
    <t>Community</t>
  </si>
  <si>
    <t>TOTALS</t>
  </si>
  <si>
    <t>TOTAL ADAPTIVE USES</t>
  </si>
  <si>
    <t>Property Type</t>
  </si>
  <si>
    <t>Developer Profit Per Unit</t>
  </si>
  <si>
    <t>Tax Rate</t>
  </si>
  <si>
    <t>Rate</t>
  </si>
  <si>
    <t>N/A</t>
  </si>
  <si>
    <t>Oversupply Calc</t>
  </si>
  <si>
    <t>1=Oversupply</t>
  </si>
  <si>
    <t>Profit Loss Factor</t>
  </si>
  <si>
    <t>Above Market Absorption Years</t>
  </si>
  <si>
    <t>Types of Properties are Oversupplied</t>
  </si>
  <si>
    <t>Assessed Value Ratio</t>
  </si>
  <si>
    <t>Buildings</t>
  </si>
  <si>
    <t>sf/building</t>
  </si>
  <si>
    <t xml:space="preserve"> - Low-Rise Office Building 1-A / 1-B</t>
  </si>
  <si>
    <t xml:space="preserve"> - Low-Rise Office Building 2</t>
  </si>
  <si>
    <t xml:space="preserve"> less: City's Cost of Land</t>
  </si>
  <si>
    <t xml:space="preserve"> less: City Costs for Subsidized Uses</t>
  </si>
  <si>
    <t>City's Cost of Land</t>
  </si>
  <si>
    <t xml:space="preserve"> - Phoenix Hotel (footnote 2)</t>
  </si>
  <si>
    <t>Adaptive Reuses</t>
  </si>
  <si>
    <t xml:space="preserve"> - York Dry Goods (48,000 sq.ft)</t>
  </si>
  <si>
    <t xml:space="preserve"> - Victorian Row (60,000 sq. ft.)</t>
  </si>
  <si>
    <t>REHABBED</t>
  </si>
  <si>
    <t>Use Allocation</t>
  </si>
  <si>
    <t>Error Check</t>
  </si>
  <si>
    <t xml:space="preserve"> - York Dry Goods Total</t>
  </si>
  <si>
    <t xml:space="preserve"> - Victorian Row Total</t>
  </si>
  <si>
    <t xml:space="preserve">      Community Art Space</t>
  </si>
  <si>
    <t xml:space="preserve">      Community Meeting/Event Space</t>
  </si>
  <si>
    <t xml:space="preserve">      Computer/Digital Center</t>
  </si>
  <si>
    <t xml:space="preserve">      Day Care Center</t>
  </si>
  <si>
    <t xml:space="preserve">      Drug Treatment Center</t>
  </si>
  <si>
    <t xml:space="preserve">      Juv. Offender Counseling</t>
  </si>
  <si>
    <t xml:space="preserve">      Police Sub-station</t>
  </si>
  <si>
    <t xml:space="preserve">      Senior Center</t>
  </si>
  <si>
    <t xml:space="preserve">      Teen Center</t>
  </si>
  <si>
    <t xml:space="preserve">      Yorktown Bike Share</t>
  </si>
  <si>
    <t xml:space="preserve">      Artist Studios</t>
  </si>
  <si>
    <t xml:space="preserve">      Univ. Classrooms</t>
  </si>
  <si>
    <t xml:space="preserve"> - Office Low-Rise Structured Parking (3 levels)</t>
  </si>
  <si>
    <t xml:space="preserve"> - Office Mid-Rise Office Structured Parking (5 levels)</t>
  </si>
  <si>
    <t xml:space="preserve"> - Residential Structured</t>
  </si>
  <si>
    <t>VALUE CREATION VARIABLES</t>
  </si>
  <si>
    <t>Square Feet</t>
  </si>
  <si>
    <t xml:space="preserve"> - Luxury Condos</t>
  </si>
  <si>
    <t xml:space="preserve"> - Neighborhood Retail Surface Parking</t>
  </si>
  <si>
    <t xml:space="preserve"> - Grocery/Drugstore Parking</t>
  </si>
  <si>
    <t xml:space="preserve"> - Qmart Parking</t>
  </si>
  <si>
    <t>Exceeds Demand:</t>
  </si>
  <si>
    <t>Developer Fees</t>
  </si>
  <si>
    <t>Existing Buildings - Adaptive Use</t>
  </si>
  <si>
    <t>RESIDENTIAL</t>
  </si>
  <si>
    <t>City Ten Year Net Revenues</t>
  </si>
  <si>
    <t>Residential Affordability (Shelter is not a residence)</t>
  </si>
  <si>
    <t>Project Financial Performance</t>
  </si>
  <si>
    <t>Fees Charged to Developer</t>
  </si>
  <si>
    <t xml:space="preserve"> Fees Charged to Developer</t>
  </si>
  <si>
    <t xml:space="preserve"> - Grocery/Drug Parking</t>
  </si>
  <si>
    <t>City Fees</t>
  </si>
  <si>
    <t xml:space="preserve">      Branch Library</t>
  </si>
  <si>
    <t xml:space="preserve">      Branch Library (7500 sq.ft.)</t>
  </si>
  <si>
    <t>a) Teams enter information into these cells. Input into CREAM cells only, except as instructed on the Use Allocation Sheet</t>
  </si>
  <si>
    <t>b) If upon clicking on the cell you see a grey arrow to the right of the box, click on it and select the input for the cell from the drop down box.</t>
  </si>
  <si>
    <t>d) Only the "Development by Block" and "Use Allocation" pages require input.</t>
  </si>
  <si>
    <t>a) These cells provide general information about the project parameters and progress.</t>
  </si>
  <si>
    <t xml:space="preserve">c) Little red triangles in the upper right-hand corner indicate that a box with important additional information will pop up if you hover the cursor over the cell. </t>
  </si>
  <si>
    <t xml:space="preserve">b) Some General Information Cells are fixed, while others automatically make calculations based on what students enter into the Input Cells. </t>
  </si>
  <si>
    <t>c) These cells are locked as changes to these cells or the program will produce incorrect results.</t>
  </si>
  <si>
    <t>BLOCK #1 (120,000 SF)</t>
  </si>
  <si>
    <t>/</t>
  </si>
  <si>
    <t>Block</t>
  </si>
  <si>
    <t>Revenue over
10-Year Period</t>
  </si>
  <si>
    <t>WORKSHEET #2: RESIDENTIAL AND HISTORIC BUILDING USE DECISIONS (INPUT PAGE)</t>
  </si>
  <si>
    <t>WORKSHEET #3: CONSTRUCTION COSTS</t>
  </si>
  <si>
    <t>WORKSHEET #5: MARKET ABSORPTION</t>
  </si>
  <si>
    <t>WORKSHEET #6: VALUE</t>
  </si>
  <si>
    <t>WORKSHEET #4: JOB CREATION</t>
  </si>
  <si>
    <t>WORKSHEET #7: CITY REVENUE</t>
  </si>
  <si>
    <t>Annual City Property/
Sales Tax Revenues</t>
  </si>
  <si>
    <t xml:space="preserve">Team Name: </t>
  </si>
  <si>
    <t xml:space="preserve"> - Phoenix Hotel - Block #2</t>
  </si>
  <si>
    <t xml:space="preserve"> - Office Low-Rise: Structured Parking (3 levels)</t>
  </si>
  <si>
    <t xml:space="preserve"> - Office Mid-Rise: Structured Parking (5 levels)</t>
  </si>
  <si>
    <t xml:space="preserve"> - Grocery/Drug: Surface Parking</t>
  </si>
  <si>
    <t xml:space="preserve"> - Q-Mart: Structured Parking</t>
  </si>
  <si>
    <t xml:space="preserve"> - Neighborhood Retail: Surface Parking</t>
  </si>
  <si>
    <t xml:space="preserve"> - Residential: Type Varies with Use</t>
  </si>
  <si>
    <t>3 spaces per 1000 SF footprint</t>
  </si>
  <si>
    <t>80-100 spaces per 10,000 SF footprint</t>
  </si>
  <si>
    <t xml:space="preserve">80-100 spaces per 20,000 SF footprint; parking at ground level and 3 levels structured </t>
  </si>
  <si>
    <t>4 3-story buildings; 60,000 SF total buildings; 40,000 SF footprint (no required parking)</t>
  </si>
  <si>
    <t>4 stories, 48,000 SF building; 20,000 SF footprint (no required parking)</t>
  </si>
  <si>
    <t>3 stories; 60,000 SF building; 20,000 SF footprint (no required parking)</t>
  </si>
  <si>
    <t>30 spaces per 10,000 SF footprint (building includes 40,000 SF roof parking)</t>
  </si>
  <si>
    <t>4 stories; 80,000 SF; 3 levels in separate parking structure on same block as office bldg</t>
  </si>
  <si>
    <t>5 stories; 20 units per 10,000 SF footprint w/ground level parking at base of building</t>
  </si>
  <si>
    <t>3 stories; 6 units per 10,000 SF footprint w/ground level parking at base of building</t>
  </si>
  <si>
    <t>10 stories; 48 units per 20,000 SF footprint w/structured parking at base of buildiing</t>
  </si>
  <si>
    <t>3 stories; 120 units per 20,000 SF footprint (no parking)</t>
  </si>
  <si>
    <t>4 stories; 60,000 SF; 3 levels of parking in separate structure on same block as office bldg</t>
  </si>
  <si>
    <t>8 stories; 120,000 SF; 5 levels of parking in separate parking structure on same block as office bldg</t>
  </si>
  <si>
    <t>1 story, 10,000 SF building; 5,000 SF increments; surface parking</t>
  </si>
  <si>
    <t>1 story, 40,000 SF building; roof and surface parking</t>
  </si>
  <si>
    <t>2 story, 160,000 SF;  ground-level parking at base of building plus 3 levels structured parking</t>
  </si>
  <si>
    <t xml:space="preserve"> - Q-Mart</t>
  </si>
  <si>
    <t>At grade, minimum 5,000 SF footprint; no required parking</t>
  </si>
  <si>
    <t>At grade; minimum 10,000 SF footprint; no required parking</t>
  </si>
  <si>
    <t>Requirement varies with residential use: footprint already included in residential structure footprint</t>
  </si>
  <si>
    <t>ADAPTIVE REUSE</t>
  </si>
  <si>
    <t xml:space="preserve">      Branch Library (7500 SF)</t>
  </si>
  <si>
    <t xml:space="preserve">      Community Art Space (2,500 SF) (footnote 3)</t>
  </si>
  <si>
    <t xml:space="preserve">      Community Meeting/Event Space (7,000 SF)</t>
  </si>
  <si>
    <t xml:space="preserve">      Computer/Digital Center  (2,000 SF)</t>
  </si>
  <si>
    <t xml:space="preserve">      Day Care Center (3,500 SF)</t>
  </si>
  <si>
    <t xml:space="preserve">      Drug Treatment Center (1,500 SF)</t>
  </si>
  <si>
    <t xml:space="preserve">      Juv. Offender Counseling (1,500 SF)</t>
  </si>
  <si>
    <t xml:space="preserve">      Police Sub-station (1,500 SF)</t>
  </si>
  <si>
    <t xml:space="preserve">      Senior Center (6,000 SF)</t>
  </si>
  <si>
    <t xml:space="preserve">      Teen Center (5,000 SF)</t>
  </si>
  <si>
    <t xml:space="preserve">      Yorktown Bike Share (5,500 SF)</t>
  </si>
  <si>
    <t xml:space="preserve">      Artist Studios (10,000 SF) (footnote 3 &amp; footnote 5)</t>
  </si>
  <si>
    <t xml:space="preserve"> - Victorian Row (60,000 SF)</t>
  </si>
  <si>
    <t xml:space="preserve">      Retail (18,000 SF max.)</t>
  </si>
  <si>
    <t xml:space="preserve">      Univ. Classrooms (15,000 SF) (footnote 4)</t>
  </si>
  <si>
    <t xml:space="preserve">      Univ. Classrooms (15,000 SF) (footnote 4 &amp; footnote 5)</t>
  </si>
  <si>
    <t xml:space="preserve">      Retail (12,000 SF max. 1st floor only)</t>
  </si>
  <si>
    <r>
      <rPr>
        <b/>
        <vertAlign val="superscript"/>
        <sz val="10"/>
        <color indexed="8"/>
        <rFont val="Arial"/>
        <family val="2"/>
      </rPr>
      <t>(1)</t>
    </r>
    <r>
      <rPr>
        <b/>
        <sz val="10"/>
        <color indexed="8"/>
        <rFont val="Arial"/>
        <family val="2"/>
      </rPr>
      <t xml:space="preserve"> Enter % to be Affordable. The Market Rate % will be calculated automatically.</t>
    </r>
  </si>
  <si>
    <r>
      <rPr>
        <b/>
        <vertAlign val="superscript"/>
        <sz val="10"/>
        <color indexed="8"/>
        <rFont val="Arial"/>
        <family val="2"/>
      </rPr>
      <t>(5)</t>
    </r>
    <r>
      <rPr>
        <b/>
        <sz val="10"/>
        <color indexed="8"/>
        <rFont val="Arial"/>
        <family val="2"/>
      </rPr>
      <t xml:space="preserve"> University classroom and artist studio space not subsidized by the City.</t>
    </r>
  </si>
  <si>
    <r>
      <rPr>
        <b/>
        <vertAlign val="superscript"/>
        <sz val="10"/>
        <color indexed="8"/>
        <rFont val="Arial"/>
        <family val="2"/>
      </rPr>
      <t>(4)</t>
    </r>
    <r>
      <rPr>
        <b/>
        <sz val="10"/>
        <color indexed="8"/>
        <rFont val="Arial"/>
        <family val="2"/>
      </rPr>
      <t xml:space="preserve"> University classroom space may not be divided between York Dry Goods and Victorian Row. The entire 15,000 SF must be in one building or the other.</t>
    </r>
  </si>
  <si>
    <r>
      <rPr>
        <b/>
        <vertAlign val="superscript"/>
        <sz val="10"/>
        <color indexed="8"/>
        <rFont val="Arial"/>
        <family val="2"/>
      </rPr>
      <t>(3)</t>
    </r>
    <r>
      <rPr>
        <b/>
        <sz val="10"/>
        <color indexed="8"/>
        <rFont val="Arial"/>
        <family val="2"/>
      </rPr>
      <t xml:space="preserve"> Artist studio space may not be located in both York Dry Goods and Victorian Row. The entire 10,000 SF must be in one building or the other.</t>
    </r>
  </si>
  <si>
    <r>
      <rPr>
        <b/>
        <vertAlign val="superscript"/>
        <sz val="10"/>
        <color indexed="8"/>
        <rFont val="Arial"/>
        <family val="2"/>
      </rPr>
      <t xml:space="preserve">(2) </t>
    </r>
    <r>
      <rPr>
        <b/>
        <sz val="10"/>
        <color indexed="8"/>
        <rFont val="Arial"/>
        <family val="2"/>
      </rPr>
      <t>Rehab election must be made under Block #2 in Development by Block worksheet. Retail must not exceed 30%. If Homeless Shelter selected, both office and retail must be 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</si>
</sst>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_);_(* \(#,##0.0\);_(* &quot;-&quot;??_);_(@_)"/>
    <numFmt numFmtId="168" formatCode="_(* #,##0.0000_);_(* \(#,##0.0000\);_(* &quot;-&quot;??_);_(@_)"/>
    <numFmt numFmtId="169" formatCode="_(* #,##0.0000_);_(* \(#,##0.0000\);_(* &quot;-&quot;????_);_(@_)"/>
    <numFmt numFmtId="170" formatCode="0.0"/>
    <numFmt numFmtId="171" formatCode="_(* #,##0.000_);_(* \(#,##0.000\);_(* &quot;-&quot;??_);_(@_)"/>
  </numFmts>
  <fonts count="64" x14ac:knownFonts="1">
    <font>
      <sz val="11"/>
      <color theme="1"/>
      <name val="Calibri"/>
      <family val="2"/>
      <scheme val="minor"/>
    </font>
    <font>
      <sz val="11"/>
      <color theme="1"/>
      <name val="Calibri"/>
      <family val="2"/>
      <scheme val="minor"/>
    </font>
    <font>
      <b/>
      <sz val="10"/>
      <name val="Arial"/>
      <family val="2"/>
    </font>
    <font>
      <u/>
      <sz val="7.5"/>
      <color indexed="12"/>
      <name val="Arial"/>
      <family val="2"/>
    </font>
    <font>
      <b/>
      <u/>
      <sz val="10"/>
      <color indexed="12"/>
      <name val="Arial"/>
      <family val="2"/>
    </font>
    <font>
      <b/>
      <sz val="10"/>
      <color indexed="81"/>
      <name val="Tahoma"/>
      <family val="2"/>
    </font>
    <font>
      <sz val="10"/>
      <name val="Arial"/>
      <family val="2"/>
    </font>
    <font>
      <b/>
      <sz val="9"/>
      <name val="Arial"/>
      <family val="2"/>
    </font>
    <font>
      <sz val="10"/>
      <color indexed="9"/>
      <name val="Arial"/>
      <family val="2"/>
    </font>
    <font>
      <b/>
      <sz val="10"/>
      <color indexed="9"/>
      <name val="Arial"/>
      <family val="2"/>
    </font>
    <font>
      <b/>
      <sz val="10"/>
      <color indexed="18"/>
      <name val="Arial"/>
      <family val="2"/>
    </font>
    <font>
      <b/>
      <sz val="9"/>
      <color indexed="12"/>
      <name val="Arial"/>
      <family val="2"/>
    </font>
    <font>
      <sz val="10"/>
      <color indexed="12"/>
      <name val="Arial"/>
      <family val="2"/>
    </font>
    <font>
      <sz val="10"/>
      <color indexed="18"/>
      <name val="Arial"/>
      <family val="2"/>
    </font>
    <font>
      <sz val="9"/>
      <color indexed="18"/>
      <name val="Arial"/>
      <family val="2"/>
    </font>
    <font>
      <u/>
      <sz val="10"/>
      <name val="Arial"/>
      <family val="2"/>
    </font>
    <font>
      <b/>
      <sz val="9"/>
      <color indexed="18"/>
      <name val="Arial"/>
      <family val="2"/>
    </font>
    <font>
      <sz val="9"/>
      <color indexed="12"/>
      <name val="Arial"/>
      <family val="2"/>
    </font>
    <font>
      <b/>
      <sz val="10"/>
      <color indexed="10"/>
      <name val="Arial"/>
      <family val="2"/>
    </font>
    <font>
      <b/>
      <sz val="8"/>
      <color indexed="81"/>
      <name val="Tahoma"/>
      <family val="2"/>
    </font>
    <font>
      <b/>
      <sz val="10"/>
      <color indexed="8"/>
      <name val="Arial"/>
      <family val="2"/>
    </font>
    <font>
      <sz val="10"/>
      <color indexed="8"/>
      <name val="Arial"/>
      <family val="2"/>
    </font>
    <font>
      <sz val="8"/>
      <color indexed="81"/>
      <name val="Tahoma"/>
      <family val="2"/>
    </font>
    <font>
      <b/>
      <sz val="10"/>
      <color indexed="12"/>
      <name val="Arial"/>
      <family val="2"/>
    </font>
    <font>
      <i/>
      <sz val="10"/>
      <color indexed="18"/>
      <name val="Arial"/>
      <family val="2"/>
    </font>
    <font>
      <i/>
      <sz val="10"/>
      <name val="Arial"/>
      <family val="2"/>
    </font>
    <font>
      <i/>
      <sz val="10"/>
      <color indexed="8"/>
      <name val="Arial"/>
      <family val="2"/>
    </font>
    <font>
      <sz val="9"/>
      <name val="Arial"/>
      <family val="2"/>
    </font>
    <font>
      <u/>
      <sz val="10"/>
      <color rgb="FF002060"/>
      <name val="Arial"/>
      <family val="2"/>
    </font>
    <font>
      <b/>
      <sz val="10"/>
      <color rgb="FF002060"/>
      <name val="Arial"/>
      <family val="2"/>
    </font>
    <font>
      <b/>
      <sz val="9"/>
      <color indexed="81"/>
      <name val="Tahoma"/>
      <family val="2"/>
    </font>
    <font>
      <sz val="9"/>
      <color indexed="81"/>
      <name val="Tahoma"/>
      <family val="2"/>
    </font>
    <font>
      <b/>
      <u val="singleAccounting"/>
      <sz val="10"/>
      <color rgb="FF002060"/>
      <name val="Arial"/>
      <family val="2"/>
    </font>
    <font>
      <b/>
      <vertAlign val="superscript"/>
      <sz val="10"/>
      <color indexed="8"/>
      <name val="Arial"/>
      <family val="2"/>
    </font>
    <font>
      <sz val="11"/>
      <color theme="1"/>
      <name val="Arial"/>
      <family val="2"/>
    </font>
    <font>
      <sz val="10"/>
      <color theme="1"/>
      <name val="Arial"/>
      <family val="2"/>
    </font>
    <font>
      <b/>
      <sz val="10"/>
      <color theme="1"/>
      <name val="Arial"/>
      <family val="2"/>
    </font>
    <font>
      <sz val="10"/>
      <color rgb="FF002060"/>
      <name val="Arial"/>
      <family val="2"/>
    </font>
    <font>
      <u val="singleAccounting"/>
      <sz val="10"/>
      <color rgb="FF002060"/>
      <name val="Arial"/>
      <family val="2"/>
    </font>
    <font>
      <sz val="11"/>
      <name val="Arial"/>
      <family val="2"/>
    </font>
    <font>
      <b/>
      <sz val="10"/>
      <color indexed="81"/>
      <name val="Calibri"/>
      <family val="2"/>
      <scheme val="minor"/>
    </font>
    <font>
      <sz val="9"/>
      <color indexed="81"/>
      <name val="Arial"/>
      <family val="2"/>
    </font>
    <font>
      <b/>
      <sz val="10"/>
      <color rgb="FFFF0000"/>
      <name val="Arial"/>
      <family val="2"/>
    </font>
    <font>
      <b/>
      <u val="singleAccounting"/>
      <sz val="10"/>
      <color rgb="FFFF0000"/>
      <name val="Arial"/>
      <family val="2"/>
    </font>
    <font>
      <b/>
      <sz val="10"/>
      <color theme="0"/>
      <name val="Arial"/>
      <family val="2"/>
    </font>
    <font>
      <sz val="10"/>
      <color theme="0"/>
      <name val="Arial"/>
      <family val="2"/>
    </font>
    <font>
      <b/>
      <u val="singleAccounting"/>
      <sz val="10"/>
      <color theme="0"/>
      <name val="Arial"/>
      <family val="2"/>
    </font>
    <font>
      <b/>
      <u/>
      <sz val="10"/>
      <name val="Arial"/>
      <family val="2"/>
    </font>
    <font>
      <u val="singleAccounting"/>
      <sz val="10"/>
      <name val="Arial"/>
      <family val="2"/>
    </font>
    <font>
      <b/>
      <u val="singleAccounting"/>
      <sz val="10"/>
      <name val="Arial"/>
      <family val="2"/>
    </font>
    <font>
      <sz val="9"/>
      <color theme="0"/>
      <name val="Arial"/>
      <family val="2"/>
    </font>
    <font>
      <b/>
      <sz val="10"/>
      <color rgb="FFF6310A"/>
      <name val="Arial"/>
      <family val="2"/>
    </font>
    <font>
      <sz val="10"/>
      <color indexed="81"/>
      <name val="Arial"/>
      <family val="2"/>
    </font>
    <font>
      <b/>
      <sz val="9"/>
      <color indexed="81"/>
      <name val="Arial"/>
      <family val="2"/>
    </font>
    <font>
      <b/>
      <sz val="10"/>
      <color indexed="81"/>
      <name val="Arial"/>
      <family val="2"/>
    </font>
    <font>
      <b/>
      <u/>
      <sz val="10"/>
      <color indexed="81"/>
      <name val="Arial"/>
      <family val="2"/>
    </font>
    <font>
      <i/>
      <sz val="10"/>
      <color indexed="81"/>
      <name val="Arial"/>
      <family val="2"/>
    </font>
    <font>
      <sz val="10"/>
      <color theme="1"/>
      <name val="Calibri"/>
      <family val="2"/>
      <scheme val="minor"/>
    </font>
    <font>
      <b/>
      <sz val="10"/>
      <color indexed="9"/>
      <name val="Calibri"/>
      <family val="2"/>
      <scheme val="minor"/>
    </font>
    <font>
      <u/>
      <sz val="9"/>
      <color indexed="81"/>
      <name val="Tahoma"/>
      <family val="2"/>
    </font>
    <font>
      <b/>
      <sz val="8"/>
      <color indexed="10"/>
      <name val="Arial"/>
      <family val="2"/>
    </font>
    <font>
      <b/>
      <sz val="9"/>
      <color indexed="10"/>
      <name val="Arial"/>
      <family val="2"/>
    </font>
    <font>
      <b/>
      <sz val="9"/>
      <color rgb="FFFF0000"/>
      <name val="Arial"/>
      <family val="2"/>
    </font>
    <font>
      <b/>
      <sz val="13"/>
      <color indexed="18"/>
      <name val="Arial"/>
      <family val="2"/>
    </font>
  </fonts>
  <fills count="17">
    <fill>
      <patternFill patternType="none"/>
    </fill>
    <fill>
      <patternFill patternType="gray125"/>
    </fill>
    <fill>
      <patternFill patternType="solid">
        <fgColor indexed="9"/>
        <bgColor indexed="64"/>
      </patternFill>
    </fill>
    <fill>
      <patternFill patternType="gray125">
        <fgColor indexed="26"/>
        <bgColor indexed="26"/>
      </patternFill>
    </fill>
    <fill>
      <patternFill patternType="solid">
        <fgColor indexed="12"/>
        <bgColor indexed="64"/>
      </patternFill>
    </fill>
    <fill>
      <patternFill patternType="solid">
        <fgColor indexed="65"/>
        <bgColor indexed="64"/>
      </patternFill>
    </fill>
    <fill>
      <patternFill patternType="solid">
        <fgColor indexed="2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6" tint="0.79998168889431442"/>
        <bgColor indexed="64"/>
      </patternFill>
    </fill>
    <fill>
      <patternFill patternType="gray125">
        <fgColor indexed="26"/>
        <bgColor rgb="FFFFFFCC"/>
      </patternFill>
    </fill>
    <fill>
      <patternFill patternType="solid">
        <fgColor theme="4" tint="0.79998168889431442"/>
        <bgColor indexed="64"/>
      </patternFill>
    </fill>
  </fills>
  <borders count="1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64"/>
      </bottom>
      <diagonal/>
    </border>
    <border>
      <left/>
      <right/>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theme="0" tint="-0.34998626667073579"/>
      </left>
      <right style="thin">
        <color theme="0" tint="-0.34998626667073579"/>
      </right>
      <top/>
      <bottom style="thin">
        <color auto="1"/>
      </bottom>
      <diagonal/>
    </border>
    <border>
      <left style="thin">
        <color indexed="64"/>
      </left>
      <right/>
      <top style="hair">
        <color indexed="64"/>
      </top>
      <bottom style="hair">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indexed="64"/>
      </right>
      <top style="thin">
        <color indexed="64"/>
      </top>
      <bottom/>
      <diagonal/>
    </border>
    <border>
      <left style="thin">
        <color theme="0" tint="-0.24994659260841701"/>
      </left>
      <right style="thin">
        <color indexed="64"/>
      </right>
      <top/>
      <bottom/>
      <diagonal/>
    </border>
    <border>
      <left style="thin">
        <color indexed="64"/>
      </left>
      <right style="thin">
        <color theme="0" tint="-0.24994659260841701"/>
      </right>
      <top style="hair">
        <color indexed="64"/>
      </top>
      <bottom style="hair">
        <color indexed="64"/>
      </bottom>
      <diagonal/>
    </border>
    <border>
      <left/>
      <right/>
      <top style="hair">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hair">
        <color indexed="64"/>
      </bottom>
      <diagonal/>
    </border>
    <border>
      <left style="thin">
        <color indexed="64"/>
      </left>
      <right style="thin">
        <color theme="0" tint="-0.24994659260841701"/>
      </right>
      <top style="hair">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0" tint="-0.24994659260841701"/>
      </right>
      <top style="hair">
        <color indexed="64"/>
      </top>
      <bottom style="thin">
        <color indexed="64"/>
      </bottom>
      <diagonal/>
    </border>
    <border>
      <left/>
      <right/>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style="thin">
        <color theme="0" tint="-0.24994659260841701"/>
      </top>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24994659260841701"/>
      </top>
      <bottom/>
      <diagonal/>
    </border>
    <border>
      <left style="medium">
        <color indexed="64"/>
      </left>
      <right/>
      <top style="thin">
        <color theme="0" tint="-0.24994659260841701"/>
      </top>
      <bottom/>
      <diagonal/>
    </border>
    <border>
      <left style="medium">
        <color indexed="64"/>
      </left>
      <right/>
      <top/>
      <bottom style="thin">
        <color theme="0" tint="-0.34998626667073579"/>
      </bottom>
      <diagonal/>
    </border>
    <border>
      <left style="thin">
        <color theme="1" tint="0.34998626667073579"/>
      </left>
      <right style="thin">
        <color theme="1" tint="0.34998626667073579"/>
      </right>
      <top style="thin">
        <color theme="1" tint="0.34998626667073579"/>
      </top>
      <bottom style="thin">
        <color indexed="64"/>
      </bottom>
      <diagonal/>
    </border>
    <border>
      <left/>
      <right/>
      <top style="thin">
        <color indexed="64"/>
      </top>
      <bottom style="medium">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diagonal/>
    </border>
    <border>
      <left style="medium">
        <color indexed="64"/>
      </left>
      <right/>
      <top style="thin">
        <color theme="0" tint="-0.24994659260841701"/>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theme="0" tint="-0.34998626667073579"/>
      </left>
      <right style="medium">
        <color indexed="64"/>
      </right>
      <top style="thin">
        <color theme="0" tint="-0.24994659260841701"/>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0" tint="-0.34998626667073579"/>
      </left>
      <right style="thin">
        <color theme="0" tint="-0.34998626667073579"/>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623">
    <xf numFmtId="0" fontId="0" fillId="0" borderId="0" xfId="0"/>
    <xf numFmtId="0" fontId="2" fillId="2" borderId="0" xfId="0" applyFont="1" applyFill="1"/>
    <xf numFmtId="43" fontId="2" fillId="2" borderId="0" xfId="1" applyFont="1" applyFill="1"/>
    <xf numFmtId="43" fontId="7" fillId="5" borderId="0" xfId="1" applyFont="1" applyFill="1"/>
    <xf numFmtId="43" fontId="12" fillId="2" borderId="0" xfId="1" applyFont="1" applyFill="1"/>
    <xf numFmtId="43" fontId="13" fillId="2" borderId="0" xfId="1" applyFont="1" applyFill="1"/>
    <xf numFmtId="43" fontId="6" fillId="2" borderId="0" xfId="1" applyFont="1" applyFill="1"/>
    <xf numFmtId="0" fontId="6" fillId="2" borderId="0" xfId="0" applyFont="1" applyFill="1"/>
    <xf numFmtId="43" fontId="10" fillId="2" borderId="0" xfId="1" applyFont="1" applyFill="1"/>
    <xf numFmtId="43" fontId="11" fillId="2" borderId="0" xfId="1" applyFont="1" applyFill="1"/>
    <xf numFmtId="0" fontId="2" fillId="0" borderId="0" xfId="0" applyFont="1"/>
    <xf numFmtId="0" fontId="20" fillId="0" borderId="0" xfId="0" applyFont="1" applyBorder="1"/>
    <xf numFmtId="165" fontId="2" fillId="2" borderId="0" xfId="2" applyNumberFormat="1" applyFont="1" applyFill="1"/>
    <xf numFmtId="165" fontId="6" fillId="2" borderId="0" xfId="2" applyNumberFormat="1" applyFont="1" applyFill="1"/>
    <xf numFmtId="9" fontId="6" fillId="2" borderId="0" xfId="3" applyFont="1" applyFill="1"/>
    <xf numFmtId="164" fontId="2" fillId="2" borderId="0" xfId="1" applyNumberFormat="1" applyFont="1" applyFill="1"/>
    <xf numFmtId="0" fontId="12" fillId="2" borderId="5" xfId="0" applyFont="1" applyFill="1" applyBorder="1" applyAlignment="1">
      <alignment horizontal="right"/>
    </xf>
    <xf numFmtId="164" fontId="12" fillId="2" borderId="6" xfId="1" applyNumberFormat="1" applyFont="1" applyFill="1" applyBorder="1" applyAlignment="1">
      <alignment horizontal="right"/>
    </xf>
    <xf numFmtId="164" fontId="6" fillId="2" borderId="0" xfId="1" applyNumberFormat="1" applyFont="1" applyFill="1"/>
    <xf numFmtId="5" fontId="2" fillId="2" borderId="0" xfId="2" applyNumberFormat="1" applyFont="1" applyFill="1"/>
    <xf numFmtId="0" fontId="12" fillId="2" borderId="0" xfId="0" applyFont="1" applyFill="1"/>
    <xf numFmtId="165" fontId="12" fillId="2" borderId="0" xfId="2" applyNumberFormat="1" applyFont="1" applyFill="1"/>
    <xf numFmtId="5" fontId="6" fillId="2" borderId="0" xfId="2" applyNumberFormat="1" applyFont="1" applyFill="1"/>
    <xf numFmtId="0" fontId="20" fillId="2" borderId="0" xfId="2" applyNumberFormat="1" applyFont="1" applyFill="1"/>
    <xf numFmtId="6" fontId="10" fillId="2" borderId="0" xfId="0" applyNumberFormat="1" applyFont="1" applyFill="1"/>
    <xf numFmtId="6" fontId="13" fillId="2" borderId="0" xfId="0" applyNumberFormat="1" applyFont="1" applyFill="1"/>
    <xf numFmtId="0" fontId="8" fillId="2" borderId="0" xfId="0" applyFont="1" applyFill="1" applyAlignment="1"/>
    <xf numFmtId="43" fontId="27" fillId="2" borderId="0" xfId="1" applyFont="1" applyFill="1"/>
    <xf numFmtId="169" fontId="6" fillId="2" borderId="0" xfId="0" applyNumberFormat="1" applyFont="1" applyFill="1"/>
    <xf numFmtId="168" fontId="27" fillId="2" borderId="0" xfId="1" applyNumberFormat="1" applyFont="1" applyFill="1"/>
    <xf numFmtId="0" fontId="20" fillId="0" borderId="0" xfId="0" applyFont="1" applyBorder="1" applyAlignment="1">
      <alignment horizontal="left" vertical="top" wrapText="1"/>
    </xf>
    <xf numFmtId="43" fontId="2" fillId="2" borderId="0" xfId="1" applyFont="1" applyFill="1" applyAlignment="1">
      <alignment horizontal="left"/>
    </xf>
    <xf numFmtId="0" fontId="2" fillId="7" borderId="0" xfId="0" applyFont="1" applyFill="1" applyAlignment="1" applyProtection="1">
      <alignment horizontal="left" wrapText="1"/>
      <protection locked="0"/>
    </xf>
    <xf numFmtId="0" fontId="6" fillId="2" borderId="0" xfId="0" applyFont="1" applyFill="1" applyAlignment="1">
      <alignment horizontal="center"/>
    </xf>
    <xf numFmtId="43" fontId="29" fillId="2" borderId="10" xfId="1" applyFont="1" applyFill="1" applyBorder="1"/>
    <xf numFmtId="0" fontId="6" fillId="0" borderId="0" xfId="0" applyFont="1"/>
    <xf numFmtId="0" fontId="9" fillId="9" borderId="8" xfId="0" applyFont="1" applyFill="1" applyBorder="1"/>
    <xf numFmtId="43" fontId="6" fillId="2" borderId="0" xfId="0" applyNumberFormat="1" applyFont="1" applyFill="1"/>
    <xf numFmtId="168" fontId="6" fillId="2" borderId="0" xfId="0" applyNumberFormat="1" applyFont="1" applyFill="1"/>
    <xf numFmtId="0" fontId="9" fillId="9" borderId="8" xfId="0" applyFont="1" applyFill="1" applyBorder="1" applyAlignment="1">
      <alignment horizontal="center"/>
    </xf>
    <xf numFmtId="0" fontId="9" fillId="9" borderId="20" xfId="0" applyFont="1" applyFill="1" applyBorder="1" applyAlignment="1">
      <alignment horizontal="center"/>
    </xf>
    <xf numFmtId="43" fontId="9" fillId="9" borderId="2" xfId="0" applyNumberFormat="1" applyFont="1" applyFill="1" applyBorder="1"/>
    <xf numFmtId="0" fontId="9" fillId="9" borderId="2" xfId="0" applyFont="1" applyFill="1" applyBorder="1" applyAlignment="1">
      <alignment horizontal="center" wrapText="1"/>
    </xf>
    <xf numFmtId="0" fontId="9" fillId="9" borderId="2" xfId="0" applyFont="1" applyFill="1" applyBorder="1" applyAlignment="1">
      <alignment horizontal="center"/>
    </xf>
    <xf numFmtId="167" fontId="6" fillId="2" borderId="0" xfId="0" applyNumberFormat="1" applyFont="1" applyFill="1"/>
    <xf numFmtId="171" fontId="9" fillId="9" borderId="15" xfId="1" applyNumberFormat="1" applyFont="1" applyFill="1" applyBorder="1" applyAlignment="1">
      <alignment horizontal="center"/>
    </xf>
    <xf numFmtId="0" fontId="23" fillId="3" borderId="1" xfId="0" applyFont="1" applyFill="1" applyBorder="1"/>
    <xf numFmtId="0" fontId="6" fillId="2" borderId="0" xfId="0" applyFont="1" applyFill="1" applyAlignment="1">
      <alignment horizontal="center" vertical="center"/>
    </xf>
    <xf numFmtId="0" fontId="2" fillId="2" borderId="0" xfId="0" applyFont="1" applyFill="1" applyAlignment="1"/>
    <xf numFmtId="0" fontId="6" fillId="2" borderId="0" xfId="0" applyFont="1" applyFill="1" applyAlignment="1"/>
    <xf numFmtId="0" fontId="6" fillId="2" borderId="0" xfId="0" applyFont="1" applyFill="1" applyAlignment="1">
      <alignment vertical="top"/>
    </xf>
    <xf numFmtId="0" fontId="6" fillId="0" borderId="0" xfId="0" applyFont="1" applyFill="1" applyBorder="1"/>
    <xf numFmtId="0" fontId="6" fillId="8" borderId="2" xfId="0" applyFont="1" applyFill="1" applyBorder="1"/>
    <xf numFmtId="0" fontId="6" fillId="2" borderId="0" xfId="0" applyFont="1" applyFill="1" applyAlignment="1">
      <alignment horizontal="center" wrapText="1"/>
    </xf>
    <xf numFmtId="164" fontId="10" fillId="6" borderId="9" xfId="1" applyNumberFormat="1" applyFont="1" applyFill="1" applyBorder="1" applyAlignment="1" applyProtection="1">
      <alignment horizontal="right"/>
      <protection locked="0"/>
    </xf>
    <xf numFmtId="164" fontId="29" fillId="3" borderId="2" xfId="1" applyNumberFormat="1" applyFont="1" applyFill="1" applyBorder="1" applyAlignment="1" applyProtection="1">
      <alignment horizontal="center"/>
      <protection locked="0"/>
    </xf>
    <xf numFmtId="0" fontId="20" fillId="0" borderId="0" xfId="0" applyFont="1" applyFill="1" applyBorder="1" applyAlignment="1"/>
    <xf numFmtId="0" fontId="20" fillId="0" borderId="0" xfId="0" applyFont="1" applyBorder="1" applyAlignment="1">
      <alignment horizontal="left" vertical="top"/>
    </xf>
    <xf numFmtId="43" fontId="18" fillId="0" borderId="0" xfId="1" applyFont="1" applyBorder="1" applyAlignment="1">
      <alignment horizontal="center"/>
    </xf>
    <xf numFmtId="0" fontId="20" fillId="0" borderId="0" xfId="0" applyFont="1" applyBorder="1" applyAlignment="1"/>
    <xf numFmtId="5" fontId="9" fillId="4" borderId="1" xfId="2" applyNumberFormat="1" applyFont="1" applyFill="1" applyBorder="1"/>
    <xf numFmtId="43" fontId="29" fillId="2" borderId="43" xfId="1" applyFont="1" applyFill="1" applyBorder="1"/>
    <xf numFmtId="43" fontId="29" fillId="0" borderId="10" xfId="1" applyFont="1" applyFill="1" applyBorder="1" applyAlignment="1">
      <alignment horizontal="left" indent="25"/>
    </xf>
    <xf numFmtId="43" fontId="29" fillId="0" borderId="43" xfId="1" applyFont="1" applyFill="1" applyBorder="1" applyAlignment="1"/>
    <xf numFmtId="43" fontId="29" fillId="0" borderId="43" xfId="1" applyFont="1" applyFill="1" applyBorder="1"/>
    <xf numFmtId="43" fontId="29" fillId="0" borderId="38" xfId="1" applyFont="1" applyFill="1" applyBorder="1"/>
    <xf numFmtId="43" fontId="13" fillId="2" borderId="0" xfId="1" applyFont="1" applyFill="1" applyBorder="1"/>
    <xf numFmtId="43" fontId="10" fillId="2" borderId="44" xfId="1" applyFont="1" applyFill="1" applyBorder="1"/>
    <xf numFmtId="43" fontId="10" fillId="2" borderId="20" xfId="1" applyFont="1" applyFill="1" applyBorder="1"/>
    <xf numFmtId="43" fontId="10" fillId="2" borderId="36" xfId="1" applyFont="1" applyFill="1" applyBorder="1"/>
    <xf numFmtId="43" fontId="13" fillId="2" borderId="10" xfId="1" applyFont="1" applyFill="1" applyBorder="1"/>
    <xf numFmtId="43" fontId="10" fillId="2" borderId="38" xfId="1" applyFont="1" applyFill="1" applyBorder="1"/>
    <xf numFmtId="43" fontId="13" fillId="2" borderId="34" xfId="1" applyFont="1" applyFill="1" applyBorder="1"/>
    <xf numFmtId="165" fontId="6" fillId="0" borderId="0" xfId="0" applyNumberFormat="1" applyFont="1"/>
    <xf numFmtId="43" fontId="2" fillId="2" borderId="2" xfId="1" applyFont="1" applyFill="1" applyBorder="1"/>
    <xf numFmtId="43" fontId="6" fillId="10" borderId="24" xfId="0" applyNumberFormat="1" applyFont="1" applyFill="1" applyBorder="1"/>
    <xf numFmtId="171" fontId="6" fillId="10" borderId="12" xfId="1" applyNumberFormat="1" applyFont="1" applyFill="1" applyBorder="1"/>
    <xf numFmtId="5" fontId="6" fillId="10" borderId="13" xfId="0" applyNumberFormat="1" applyFont="1" applyFill="1" applyBorder="1"/>
    <xf numFmtId="0" fontId="6" fillId="10" borderId="24" xfId="0" applyFont="1" applyFill="1" applyBorder="1"/>
    <xf numFmtId="171" fontId="6" fillId="10" borderId="12" xfId="1" applyNumberFormat="1" applyFont="1" applyFill="1" applyBorder="1" applyAlignment="1">
      <alignment horizontal="center"/>
    </xf>
    <xf numFmtId="0" fontId="6" fillId="10" borderId="13" xfId="0" applyFont="1" applyFill="1" applyBorder="1"/>
    <xf numFmtId="0" fontId="6" fillId="10" borderId="19" xfId="0" applyFont="1" applyFill="1" applyBorder="1"/>
    <xf numFmtId="0" fontId="6" fillId="10" borderId="29" xfId="0" applyFont="1" applyFill="1" applyBorder="1"/>
    <xf numFmtId="171" fontId="6" fillId="10" borderId="18" xfId="1" applyNumberFormat="1" applyFont="1" applyFill="1" applyBorder="1"/>
    <xf numFmtId="0" fontId="6" fillId="10" borderId="0" xfId="0" applyFont="1" applyFill="1" applyBorder="1"/>
    <xf numFmtId="5" fontId="6" fillId="10" borderId="12" xfId="0" applyNumberFormat="1" applyFont="1" applyFill="1" applyBorder="1"/>
    <xf numFmtId="10" fontId="6" fillId="10" borderId="12" xfId="3" applyNumberFormat="1" applyFont="1" applyFill="1" applyBorder="1"/>
    <xf numFmtId="2" fontId="6" fillId="10" borderId="0" xfId="0" applyNumberFormat="1" applyFont="1" applyFill="1" applyBorder="1"/>
    <xf numFmtId="0" fontId="6" fillId="10" borderId="12" xfId="0" applyFont="1" applyFill="1" applyBorder="1"/>
    <xf numFmtId="2" fontId="6" fillId="10" borderId="30" xfId="0" applyNumberFormat="1" applyFont="1" applyFill="1" applyBorder="1"/>
    <xf numFmtId="10" fontId="6" fillId="10" borderId="18" xfId="3" applyNumberFormat="1" applyFont="1" applyFill="1" applyBorder="1"/>
    <xf numFmtId="0" fontId="34" fillId="0" borderId="0" xfId="0" applyFont="1"/>
    <xf numFmtId="0" fontId="35" fillId="0" borderId="0" xfId="0" applyFont="1"/>
    <xf numFmtId="0" fontId="9" fillId="9" borderId="34" xfId="0" applyFont="1" applyFill="1" applyBorder="1"/>
    <xf numFmtId="0" fontId="35" fillId="0" borderId="39" xfId="0" applyFont="1" applyBorder="1"/>
    <xf numFmtId="0" fontId="35" fillId="0" borderId="0" xfId="0" applyFont="1" applyBorder="1"/>
    <xf numFmtId="0" fontId="35" fillId="0" borderId="41" xfId="0" applyFont="1" applyBorder="1"/>
    <xf numFmtId="0" fontId="9" fillId="9" borderId="36" xfId="0" applyFont="1" applyFill="1" applyBorder="1"/>
    <xf numFmtId="0" fontId="37" fillId="0" borderId="10" xfId="0" applyFont="1" applyBorder="1"/>
    <xf numFmtId="0" fontId="37" fillId="8" borderId="47" xfId="0" applyFont="1" applyFill="1" applyBorder="1"/>
    <xf numFmtId="0" fontId="35" fillId="0" borderId="38" xfId="0" applyFont="1" applyBorder="1"/>
    <xf numFmtId="0" fontId="35" fillId="0" borderId="11" xfId="0" applyFont="1" applyBorder="1"/>
    <xf numFmtId="0" fontId="29" fillId="0" borderId="10" xfId="0" applyFont="1" applyBorder="1"/>
    <xf numFmtId="0" fontId="29" fillId="0" borderId="16" xfId="0" applyFont="1" applyBorder="1"/>
    <xf numFmtId="0" fontId="2" fillId="0" borderId="2" xfId="0" applyFont="1" applyBorder="1"/>
    <xf numFmtId="0" fontId="36" fillId="0" borderId="0" xfId="0" applyFont="1" applyBorder="1"/>
    <xf numFmtId="166" fontId="35" fillId="0" borderId="0" xfId="3" applyNumberFormat="1" applyFont="1"/>
    <xf numFmtId="0" fontId="35" fillId="0" borderId="0" xfId="0" applyFont="1" applyAlignment="1">
      <alignment horizontal="right"/>
    </xf>
    <xf numFmtId="9" fontId="35" fillId="0" borderId="0" xfId="3" applyFont="1" applyAlignment="1">
      <alignment horizontal="right"/>
    </xf>
    <xf numFmtId="9" fontId="35" fillId="0" borderId="0" xfId="3" applyFont="1"/>
    <xf numFmtId="0" fontId="25" fillId="10" borderId="8" xfId="0" applyFont="1" applyFill="1" applyBorder="1"/>
    <xf numFmtId="0" fontId="25" fillId="10" borderId="20" xfId="0" applyFont="1" applyFill="1" applyBorder="1"/>
    <xf numFmtId="0" fontId="25" fillId="10" borderId="15" xfId="0" applyFont="1" applyFill="1" applyBorder="1"/>
    <xf numFmtId="170" fontId="6" fillId="10" borderId="26" xfId="0" applyNumberFormat="1" applyFont="1" applyFill="1" applyBorder="1" applyAlignment="1">
      <alignment horizontal="center"/>
    </xf>
    <xf numFmtId="170" fontId="6" fillId="10" borderId="21" xfId="0" applyNumberFormat="1" applyFont="1" applyFill="1" applyBorder="1" applyAlignment="1">
      <alignment horizontal="center"/>
    </xf>
    <xf numFmtId="2" fontId="6" fillId="10" borderId="31" xfId="0" applyNumberFormat="1" applyFont="1" applyFill="1" applyBorder="1" applyAlignment="1">
      <alignment horizontal="center"/>
    </xf>
    <xf numFmtId="170" fontId="6" fillId="10" borderId="24" xfId="0" applyNumberFormat="1" applyFont="1" applyFill="1" applyBorder="1" applyAlignment="1">
      <alignment horizontal="center"/>
    </xf>
    <xf numFmtId="170" fontId="6" fillId="10" borderId="0" xfId="0" applyNumberFormat="1" applyFont="1" applyFill="1" applyBorder="1" applyAlignment="1">
      <alignment horizontal="center"/>
    </xf>
    <xf numFmtId="2" fontId="6" fillId="10" borderId="13" xfId="0" applyNumberFormat="1" applyFont="1" applyFill="1" applyBorder="1" applyAlignment="1">
      <alignment horizontal="center"/>
    </xf>
    <xf numFmtId="170" fontId="6" fillId="10" borderId="29" xfId="0" applyNumberFormat="1" applyFont="1" applyFill="1" applyBorder="1" applyAlignment="1">
      <alignment horizontal="center"/>
    </xf>
    <xf numFmtId="170" fontId="6" fillId="10" borderId="30" xfId="0" applyNumberFormat="1" applyFont="1" applyFill="1" applyBorder="1" applyAlignment="1">
      <alignment horizontal="center"/>
    </xf>
    <xf numFmtId="2" fontId="6" fillId="10" borderId="19" xfId="0" applyNumberFormat="1" applyFont="1" applyFill="1" applyBorder="1" applyAlignment="1">
      <alignment horizontal="center"/>
    </xf>
    <xf numFmtId="170" fontId="25" fillId="10" borderId="24" xfId="0" applyNumberFormat="1" applyFont="1" applyFill="1" applyBorder="1" applyAlignment="1">
      <alignment horizontal="center"/>
    </xf>
    <xf numFmtId="170" fontId="25" fillId="10" borderId="0" xfId="0" applyNumberFormat="1" applyFont="1" applyFill="1" applyBorder="1" applyAlignment="1">
      <alignment horizontal="center"/>
    </xf>
    <xf numFmtId="2" fontId="25" fillId="10" borderId="13" xfId="0" applyNumberFormat="1" applyFont="1" applyFill="1" applyBorder="1" applyAlignment="1">
      <alignment horizontal="center"/>
    </xf>
    <xf numFmtId="170" fontId="15" fillId="10" borderId="24" xfId="0" applyNumberFormat="1" applyFont="1" applyFill="1" applyBorder="1" applyAlignment="1">
      <alignment horizontal="center"/>
    </xf>
    <xf numFmtId="170" fontId="6" fillId="10" borderId="13" xfId="0" applyNumberFormat="1" applyFont="1" applyFill="1" applyBorder="1" applyAlignment="1">
      <alignment horizontal="center"/>
    </xf>
    <xf numFmtId="170" fontId="2" fillId="10" borderId="4" xfId="0" applyNumberFormat="1" applyFont="1" applyFill="1" applyBorder="1" applyAlignment="1">
      <alignment horizontal="center"/>
    </xf>
    <xf numFmtId="170" fontId="2" fillId="10" borderId="5" xfId="0" applyNumberFormat="1" applyFont="1" applyFill="1" applyBorder="1" applyAlignment="1">
      <alignment horizontal="left"/>
    </xf>
    <xf numFmtId="170" fontId="6" fillId="10" borderId="5" xfId="0" applyNumberFormat="1" applyFont="1" applyFill="1" applyBorder="1" applyAlignment="1">
      <alignment horizontal="center"/>
    </xf>
    <xf numFmtId="170" fontId="6" fillId="10" borderId="6" xfId="0" applyNumberFormat="1" applyFont="1" applyFill="1" applyBorder="1" applyAlignment="1">
      <alignment horizontal="center"/>
    </xf>
    <xf numFmtId="43" fontId="6" fillId="2" borderId="20" xfId="1" applyFont="1" applyFill="1" applyBorder="1"/>
    <xf numFmtId="0" fontId="35" fillId="0" borderId="0" xfId="0" applyFont="1" applyAlignment="1">
      <alignment vertical="center"/>
    </xf>
    <xf numFmtId="43" fontId="12" fillId="2" borderId="0" xfId="1" applyFont="1" applyFill="1" applyAlignment="1">
      <alignment horizontal="center" wrapText="1"/>
    </xf>
    <xf numFmtId="43" fontId="17" fillId="2" borderId="0" xfId="1" applyFont="1" applyFill="1" applyAlignment="1">
      <alignment horizontal="center" wrapText="1"/>
    </xf>
    <xf numFmtId="43" fontId="6" fillId="2" borderId="0" xfId="1" applyFont="1" applyFill="1" applyAlignment="1">
      <alignment horizontal="center" wrapText="1"/>
    </xf>
    <xf numFmtId="0" fontId="34" fillId="0" borderId="0" xfId="0" applyFont="1" applyAlignment="1">
      <alignment horizontal="center"/>
    </xf>
    <xf numFmtId="164" fontId="29" fillId="3" borderId="8" xfId="1" applyNumberFormat="1" applyFont="1" applyFill="1" applyBorder="1" applyAlignment="1" applyProtection="1">
      <alignment horizontal="center"/>
      <protection locked="0"/>
    </xf>
    <xf numFmtId="0" fontId="35" fillId="0" borderId="0" xfId="0" applyFont="1" applyProtection="1"/>
    <xf numFmtId="9" fontId="35" fillId="0" borderId="0" xfId="3" applyFont="1" applyProtection="1"/>
    <xf numFmtId="43" fontId="10" fillId="2" borderId="0" xfId="1" applyFont="1" applyFill="1" applyProtection="1"/>
    <xf numFmtId="43" fontId="13" fillId="2" borderId="0" xfId="1" applyFont="1" applyFill="1" applyProtection="1"/>
    <xf numFmtId="43" fontId="10" fillId="2" borderId="0" xfId="1" applyFont="1" applyFill="1" applyBorder="1" applyProtection="1"/>
    <xf numFmtId="0" fontId="13" fillId="0" borderId="0" xfId="0" applyFont="1" applyProtection="1"/>
    <xf numFmtId="0" fontId="12" fillId="0" borderId="0" xfId="0" applyFont="1" applyProtection="1"/>
    <xf numFmtId="0" fontId="21" fillId="0" borderId="0" xfId="0" applyFont="1" applyAlignment="1" applyProtection="1">
      <alignment horizontal="right"/>
    </xf>
    <xf numFmtId="167" fontId="21" fillId="0" borderId="0" xfId="1" applyNumberFormat="1" applyFont="1" applyAlignment="1" applyProtection="1">
      <alignment horizontal="right"/>
    </xf>
    <xf numFmtId="0" fontId="35" fillId="0" borderId="0" xfId="0" applyFont="1" applyBorder="1" applyProtection="1"/>
    <xf numFmtId="164" fontId="29" fillId="12" borderId="15" xfId="1" applyNumberFormat="1" applyFont="1" applyFill="1" applyBorder="1" applyAlignment="1">
      <alignment horizontal="center"/>
    </xf>
    <xf numFmtId="164" fontId="29" fillId="12" borderId="2" xfId="1" applyNumberFormat="1" applyFont="1" applyFill="1" applyBorder="1" applyAlignment="1" applyProtection="1">
      <alignment horizontal="center"/>
    </xf>
    <xf numFmtId="9" fontId="29" fillId="12" borderId="2" xfId="3" applyFont="1" applyFill="1" applyBorder="1" applyAlignment="1" applyProtection="1">
      <alignment horizontal="center"/>
    </xf>
    <xf numFmtId="43" fontId="6" fillId="2" borderId="0" xfId="1" applyFont="1" applyFill="1" applyProtection="1"/>
    <xf numFmtId="43" fontId="2" fillId="2" borderId="8" xfId="1" applyFont="1" applyFill="1" applyBorder="1" applyProtection="1"/>
    <xf numFmtId="0" fontId="6" fillId="0" borderId="0" xfId="0" applyFont="1" applyProtection="1"/>
    <xf numFmtId="43" fontId="2" fillId="2" borderId="26" xfId="1" applyFont="1" applyFill="1" applyBorder="1" applyProtection="1"/>
    <xf numFmtId="43" fontId="2" fillId="2" borderId="29" xfId="1" applyFont="1" applyFill="1" applyBorder="1" applyProtection="1"/>
    <xf numFmtId="0" fontId="2" fillId="0" borderId="2" xfId="0" applyFont="1" applyBorder="1" applyProtection="1"/>
    <xf numFmtId="43" fontId="6" fillId="2" borderId="24" xfId="1" applyFont="1" applyFill="1" applyBorder="1" applyProtection="1"/>
    <xf numFmtId="43" fontId="6" fillId="2" borderId="29" xfId="1" applyFont="1" applyFill="1" applyBorder="1" applyProtection="1"/>
    <xf numFmtId="6" fontId="2" fillId="2" borderId="0" xfId="0" applyNumberFormat="1" applyFont="1" applyFill="1"/>
    <xf numFmtId="6" fontId="2" fillId="2" borderId="0" xfId="2" applyNumberFormat="1" applyFont="1" applyFill="1"/>
    <xf numFmtId="164" fontId="24" fillId="12" borderId="24" xfId="1" applyNumberFormat="1" applyFont="1" applyFill="1" applyBorder="1" applyAlignment="1" applyProtection="1">
      <alignment horizontal="center"/>
    </xf>
    <xf numFmtId="164" fontId="25" fillId="12" borderId="24" xfId="1" applyNumberFormat="1" applyFont="1" applyFill="1" applyBorder="1" applyAlignment="1" applyProtection="1">
      <alignment horizontal="center"/>
    </xf>
    <xf numFmtId="164" fontId="21" fillId="12" borderId="24" xfId="1" applyNumberFormat="1" applyFont="1" applyFill="1" applyBorder="1" applyProtection="1"/>
    <xf numFmtId="164" fontId="20" fillId="12" borderId="8" xfId="1" applyNumberFormat="1" applyFont="1" applyFill="1" applyBorder="1" applyProtection="1"/>
    <xf numFmtId="164" fontId="20" fillId="12" borderId="24" xfId="1" applyNumberFormat="1" applyFont="1" applyFill="1" applyBorder="1" applyProtection="1"/>
    <xf numFmtId="164" fontId="26" fillId="12" borderId="24" xfId="1" applyNumberFormat="1" applyFont="1" applyFill="1" applyBorder="1" applyAlignment="1" applyProtection="1">
      <alignment horizontal="center"/>
    </xf>
    <xf numFmtId="164" fontId="12" fillId="12" borderId="26" xfId="1" applyNumberFormat="1" applyFont="1" applyFill="1" applyBorder="1" applyProtection="1"/>
    <xf numFmtId="0" fontId="21" fillId="12" borderId="24" xfId="0" applyFont="1" applyFill="1" applyBorder="1" applyAlignment="1" applyProtection="1">
      <alignment horizontal="right"/>
    </xf>
    <xf numFmtId="164" fontId="12" fillId="12" borderId="24" xfId="1" applyNumberFormat="1" applyFont="1" applyFill="1" applyBorder="1" applyProtection="1"/>
    <xf numFmtId="164" fontId="21" fillId="12" borderId="60" xfId="1" applyNumberFormat="1" applyFont="1" applyFill="1" applyBorder="1" applyProtection="1"/>
    <xf numFmtId="0" fontId="12" fillId="12" borderId="24" xfId="0" applyFont="1" applyFill="1" applyBorder="1" applyAlignment="1" applyProtection="1">
      <alignment horizontal="right"/>
    </xf>
    <xf numFmtId="167" fontId="12" fillId="12" borderId="62" xfId="1" applyNumberFormat="1" applyFont="1" applyFill="1" applyBorder="1" applyProtection="1"/>
    <xf numFmtId="167" fontId="12" fillId="12" borderId="63" xfId="1" applyNumberFormat="1" applyFont="1" applyFill="1" applyBorder="1" applyProtection="1"/>
    <xf numFmtId="167" fontId="21" fillId="12" borderId="63" xfId="1" applyNumberFormat="1" applyFont="1" applyFill="1" applyBorder="1" applyProtection="1"/>
    <xf numFmtId="167" fontId="20" fillId="12" borderId="61" xfId="1" applyNumberFormat="1" applyFont="1" applyFill="1" applyBorder="1" applyProtection="1"/>
    <xf numFmtId="167" fontId="20" fillId="12" borderId="63" xfId="1" applyNumberFormat="1" applyFont="1" applyFill="1" applyBorder="1" applyProtection="1"/>
    <xf numFmtId="167" fontId="21" fillId="12" borderId="63" xfId="1" applyNumberFormat="1" applyFont="1" applyFill="1" applyBorder="1" applyAlignment="1" applyProtection="1">
      <alignment horizontal="center"/>
    </xf>
    <xf numFmtId="167" fontId="20" fillId="12" borderId="61" xfId="1" applyNumberFormat="1" applyFont="1" applyFill="1" applyBorder="1" applyAlignment="1" applyProtection="1">
      <alignment horizontal="center"/>
    </xf>
    <xf numFmtId="164" fontId="21" fillId="12" borderId="63" xfId="1" applyNumberFormat="1" applyFont="1" applyFill="1" applyBorder="1" applyAlignment="1" applyProtection="1">
      <alignment horizontal="right"/>
    </xf>
    <xf numFmtId="167" fontId="21" fillId="12" borderId="63" xfId="1" applyNumberFormat="1" applyFont="1" applyFill="1" applyBorder="1" applyAlignment="1" applyProtection="1">
      <alignment horizontal="right"/>
    </xf>
    <xf numFmtId="167" fontId="12" fillId="12" borderId="63" xfId="1" applyNumberFormat="1" applyFont="1" applyFill="1" applyBorder="1" applyAlignment="1" applyProtection="1">
      <alignment horizontal="right"/>
    </xf>
    <xf numFmtId="43" fontId="2" fillId="2" borderId="49" xfId="1" applyFont="1" applyFill="1" applyBorder="1" applyProtection="1"/>
    <xf numFmtId="43" fontId="6" fillId="2" borderId="65" xfId="1" applyFont="1" applyFill="1" applyBorder="1" applyProtection="1"/>
    <xf numFmtId="43" fontId="6" fillId="2" borderId="66" xfId="1" applyFont="1" applyFill="1" applyBorder="1" applyProtection="1"/>
    <xf numFmtId="43" fontId="6" fillId="2" borderId="67" xfId="1" applyFont="1" applyFill="1" applyBorder="1" applyProtection="1"/>
    <xf numFmtId="164" fontId="21" fillId="12" borderId="68" xfId="1" applyNumberFormat="1" applyFont="1" applyFill="1" applyBorder="1" applyProtection="1"/>
    <xf numFmtId="164" fontId="21" fillId="12" borderId="69" xfId="1" applyNumberFormat="1" applyFont="1" applyFill="1" applyBorder="1" applyProtection="1"/>
    <xf numFmtId="164" fontId="21" fillId="12" borderId="70" xfId="1" applyNumberFormat="1" applyFont="1" applyFill="1" applyBorder="1" applyProtection="1"/>
    <xf numFmtId="164" fontId="21" fillId="12" borderId="64" xfId="1" applyNumberFormat="1" applyFont="1" applyFill="1" applyBorder="1" applyProtection="1"/>
    <xf numFmtId="43" fontId="6" fillId="2" borderId="71" xfId="1" applyFont="1" applyFill="1" applyBorder="1" applyProtection="1"/>
    <xf numFmtId="43" fontId="6" fillId="2" borderId="72" xfId="1" applyFont="1" applyFill="1" applyBorder="1" applyProtection="1"/>
    <xf numFmtId="164" fontId="21" fillId="12" borderId="73" xfId="1" applyNumberFormat="1" applyFont="1" applyFill="1" applyBorder="1" applyProtection="1"/>
    <xf numFmtId="9" fontId="21" fillId="12" borderId="13" xfId="3" applyNumberFormat="1" applyFont="1" applyFill="1" applyBorder="1" applyProtection="1"/>
    <xf numFmtId="9" fontId="20" fillId="12" borderId="2" xfId="3" applyNumberFormat="1" applyFont="1" applyFill="1" applyBorder="1" applyProtection="1"/>
    <xf numFmtId="164" fontId="21" fillId="12" borderId="13" xfId="1" applyNumberFormat="1" applyFont="1" applyFill="1" applyBorder="1" applyProtection="1"/>
    <xf numFmtId="164" fontId="20" fillId="12" borderId="2" xfId="1" applyNumberFormat="1" applyFont="1" applyFill="1" applyBorder="1" applyProtection="1"/>
    <xf numFmtId="6" fontId="21" fillId="12" borderId="13" xfId="2" applyNumberFormat="1" applyFont="1" applyFill="1" applyBorder="1" applyProtection="1"/>
    <xf numFmtId="6" fontId="20" fillId="12" borderId="2" xfId="2" applyNumberFormat="1" applyFont="1" applyFill="1" applyBorder="1" applyProtection="1"/>
    <xf numFmtId="165" fontId="6" fillId="12" borderId="2" xfId="2" applyNumberFormat="1" applyFont="1" applyFill="1" applyBorder="1" applyProtection="1"/>
    <xf numFmtId="6" fontId="20" fillId="12" borderId="31" xfId="2" applyNumberFormat="1" applyFont="1" applyFill="1" applyBorder="1" applyProtection="1"/>
    <xf numFmtId="166" fontId="20" fillId="12" borderId="19" xfId="3" applyNumberFormat="1" applyFont="1" applyFill="1" applyBorder="1" applyProtection="1"/>
    <xf numFmtId="165" fontId="21" fillId="12" borderId="0" xfId="2" applyNumberFormat="1" applyFont="1" applyFill="1" applyBorder="1"/>
    <xf numFmtId="165" fontId="21" fillId="12" borderId="13" xfId="2" applyNumberFormat="1" applyFont="1" applyFill="1" applyBorder="1"/>
    <xf numFmtId="164" fontId="21" fillId="12" borderId="24" xfId="1" applyNumberFormat="1" applyFont="1" applyFill="1" applyBorder="1"/>
    <xf numFmtId="164" fontId="21" fillId="12" borderId="0" xfId="1" applyNumberFormat="1" applyFont="1" applyFill="1" applyBorder="1"/>
    <xf numFmtId="6" fontId="21" fillId="12" borderId="13" xfId="2" applyNumberFormat="1" applyFont="1" applyFill="1" applyBorder="1"/>
    <xf numFmtId="164" fontId="6" fillId="12" borderId="27" xfId="1" applyNumberFormat="1" applyFont="1" applyFill="1" applyBorder="1"/>
    <xf numFmtId="164" fontId="6" fillId="12" borderId="24" xfId="1" applyNumberFormat="1" applyFont="1" applyFill="1" applyBorder="1"/>
    <xf numFmtId="164" fontId="6" fillId="12" borderId="0" xfId="1" applyNumberFormat="1" applyFont="1" applyFill="1" applyBorder="1"/>
    <xf numFmtId="165" fontId="6" fillId="12" borderId="0" xfId="2" applyNumberFormat="1" applyFont="1" applyFill="1" applyBorder="1"/>
    <xf numFmtId="6" fontId="6" fillId="12" borderId="13" xfId="2" applyNumberFormat="1" applyFont="1" applyFill="1" applyBorder="1"/>
    <xf numFmtId="164" fontId="12" fillId="12" borderId="27" xfId="1" applyNumberFormat="1" applyFont="1" applyFill="1" applyBorder="1"/>
    <xf numFmtId="164" fontId="21" fillId="12" borderId="5" xfId="1" applyNumberFormat="1" applyFont="1" applyFill="1" applyBorder="1"/>
    <xf numFmtId="165" fontId="21" fillId="12" borderId="5" xfId="2" applyNumberFormat="1" applyFont="1" applyFill="1" applyBorder="1"/>
    <xf numFmtId="6" fontId="21" fillId="12" borderId="32" xfId="2" applyNumberFormat="1" applyFont="1" applyFill="1" applyBorder="1"/>
    <xf numFmtId="6" fontId="21" fillId="12" borderId="32" xfId="3" applyNumberFormat="1" applyFont="1" applyFill="1" applyBorder="1"/>
    <xf numFmtId="6" fontId="21" fillId="12" borderId="27" xfId="3" applyNumberFormat="1" applyFont="1" applyFill="1" applyBorder="1"/>
    <xf numFmtId="6" fontId="21" fillId="12" borderId="33" xfId="2" applyNumberFormat="1" applyFont="1" applyFill="1" applyBorder="1"/>
    <xf numFmtId="164" fontId="12" fillId="12" borderId="30" xfId="1" applyNumberFormat="1" applyFont="1" applyFill="1" applyBorder="1"/>
    <xf numFmtId="165" fontId="12" fillId="12" borderId="30" xfId="2" applyNumberFormat="1" applyFont="1" applyFill="1" applyBorder="1"/>
    <xf numFmtId="6" fontId="21" fillId="12" borderId="19" xfId="2" applyNumberFormat="1" applyFont="1" applyFill="1" applyBorder="1"/>
    <xf numFmtId="164" fontId="12" fillId="12" borderId="29" xfId="1" applyNumberFormat="1" applyFont="1" applyFill="1" applyBorder="1"/>
    <xf numFmtId="165" fontId="21" fillId="12" borderId="32" xfId="2" applyNumberFormat="1" applyFont="1" applyFill="1" applyBorder="1"/>
    <xf numFmtId="164" fontId="2" fillId="6" borderId="9" xfId="1" applyNumberFormat="1" applyFont="1" applyFill="1" applyBorder="1" applyAlignment="1" applyProtection="1">
      <alignment horizontal="right"/>
      <protection locked="0"/>
    </xf>
    <xf numFmtId="0" fontId="39" fillId="0" borderId="0" xfId="0" applyFont="1" applyAlignment="1">
      <alignment horizontal="center"/>
    </xf>
    <xf numFmtId="0" fontId="39" fillId="0" borderId="0" xfId="0" applyFont="1"/>
    <xf numFmtId="164" fontId="2" fillId="12" borderId="2" xfId="1" applyNumberFormat="1" applyFont="1" applyFill="1" applyBorder="1" applyAlignment="1" applyProtection="1">
      <alignment horizontal="center"/>
      <protection locked="0"/>
    </xf>
    <xf numFmtId="164" fontId="2" fillId="12" borderId="2" xfId="1" applyNumberFormat="1" applyFont="1" applyFill="1" applyBorder="1" applyAlignment="1" applyProtection="1">
      <alignment horizontal="center"/>
    </xf>
    <xf numFmtId="9" fontId="2" fillId="12" borderId="2" xfId="3" applyFont="1" applyFill="1" applyBorder="1" applyAlignment="1" applyProtection="1">
      <alignment horizontal="center"/>
    </xf>
    <xf numFmtId="49" fontId="6" fillId="2" borderId="0" xfId="1" applyNumberFormat="1" applyFont="1" applyFill="1"/>
    <xf numFmtId="0" fontId="9" fillId="13" borderId="8" xfId="0" applyFont="1" applyFill="1" applyBorder="1" applyAlignment="1">
      <alignment horizontal="center" wrapText="1"/>
    </xf>
    <xf numFmtId="43" fontId="9" fillId="13" borderId="20" xfId="1" applyFont="1" applyFill="1" applyBorder="1"/>
    <xf numFmtId="0" fontId="6" fillId="13" borderId="20" xfId="0" applyFont="1" applyFill="1" applyBorder="1"/>
    <xf numFmtId="165" fontId="6" fillId="13" borderId="20" xfId="2" applyNumberFormat="1" applyFont="1" applyFill="1" applyBorder="1"/>
    <xf numFmtId="165" fontId="6" fillId="13" borderId="15" xfId="2" applyNumberFormat="1" applyFont="1" applyFill="1" applyBorder="1"/>
    <xf numFmtId="0" fontId="4" fillId="14" borderId="0" xfId="4" applyFont="1" applyFill="1" applyAlignment="1" applyProtection="1">
      <alignment horizontal="center" wrapText="1"/>
      <protection locked="0"/>
    </xf>
    <xf numFmtId="0" fontId="2" fillId="14" borderId="0" xfId="0" applyFont="1" applyFill="1" applyAlignment="1" applyProtection="1">
      <alignment horizontal="center" wrapText="1"/>
      <protection locked="0"/>
    </xf>
    <xf numFmtId="0" fontId="2" fillId="14" borderId="0" xfId="0" applyFont="1" applyFill="1" applyAlignment="1">
      <alignment horizontal="center" wrapText="1"/>
    </xf>
    <xf numFmtId="0" fontId="2" fillId="14" borderId="0" xfId="0" applyFont="1" applyFill="1" applyAlignment="1" applyProtection="1">
      <alignment horizontal="left" wrapText="1"/>
      <protection locked="0"/>
    </xf>
    <xf numFmtId="5" fontId="42" fillId="2" borderId="0" xfId="2" applyNumberFormat="1" applyFont="1" applyFill="1"/>
    <xf numFmtId="0" fontId="4" fillId="14" borderId="0" xfId="4" applyFont="1" applyFill="1" applyAlignment="1" applyProtection="1">
      <alignment horizontal="center" wrapText="1"/>
    </xf>
    <xf numFmtId="0" fontId="6" fillId="12" borderId="74" xfId="0" applyFont="1" applyFill="1" applyBorder="1"/>
    <xf numFmtId="0" fontId="6" fillId="12" borderId="75" xfId="0" applyFont="1" applyFill="1" applyBorder="1"/>
    <xf numFmtId="0" fontId="6" fillId="12" borderId="76" xfId="0" applyFont="1" applyFill="1" applyBorder="1"/>
    <xf numFmtId="0" fontId="6" fillId="12" borderId="77" xfId="0" applyFont="1" applyFill="1" applyBorder="1"/>
    <xf numFmtId="164" fontId="2" fillId="12" borderId="15" xfId="1" applyNumberFormat="1" applyFont="1" applyFill="1" applyBorder="1" applyAlignment="1" applyProtection="1">
      <alignment horizontal="center"/>
      <protection locked="0"/>
    </xf>
    <xf numFmtId="0" fontId="6" fillId="12" borderId="79" xfId="0" applyFont="1" applyFill="1" applyBorder="1"/>
    <xf numFmtId="0" fontId="6" fillId="12" borderId="80" xfId="0" applyFont="1" applyFill="1" applyBorder="1"/>
    <xf numFmtId="0" fontId="6" fillId="12" borderId="78" xfId="0" applyFont="1" applyFill="1" applyBorder="1"/>
    <xf numFmtId="0" fontId="6" fillId="12" borderId="81" xfId="0" applyFont="1" applyFill="1" applyBorder="1"/>
    <xf numFmtId="164" fontId="29" fillId="3" borderId="82" xfId="1" applyNumberFormat="1" applyFont="1" applyFill="1" applyBorder="1" applyAlignment="1" applyProtection="1">
      <alignment horizontal="center"/>
      <protection locked="0"/>
    </xf>
    <xf numFmtId="164" fontId="2" fillId="12" borderId="0" xfId="1" applyNumberFormat="1" applyFont="1" applyFill="1" applyBorder="1" applyAlignment="1" applyProtection="1">
      <alignment horizontal="center"/>
      <protection locked="0"/>
    </xf>
    <xf numFmtId="0" fontId="37" fillId="12" borderId="83" xfId="0" applyFont="1" applyFill="1" applyBorder="1"/>
    <xf numFmtId="9" fontId="29" fillId="12" borderId="83" xfId="3" applyFont="1" applyFill="1" applyBorder="1" applyAlignment="1" applyProtection="1">
      <alignment horizontal="center"/>
    </xf>
    <xf numFmtId="164" fontId="2" fillId="6" borderId="51" xfId="1" applyNumberFormat="1" applyFont="1" applyFill="1" applyBorder="1" applyAlignment="1" applyProtection="1">
      <alignment horizontal="right"/>
      <protection locked="0"/>
    </xf>
    <xf numFmtId="9" fontId="2" fillId="12" borderId="51" xfId="3" applyFont="1" applyFill="1" applyBorder="1" applyAlignment="1" applyProtection="1">
      <alignment horizontal="center"/>
    </xf>
    <xf numFmtId="164" fontId="2" fillId="6" borderId="55" xfId="1" applyNumberFormat="1" applyFont="1" applyFill="1" applyBorder="1" applyAlignment="1" applyProtection="1">
      <alignment horizontal="right"/>
      <protection locked="0"/>
    </xf>
    <xf numFmtId="9" fontId="2" fillId="12" borderId="55" xfId="3" applyFont="1" applyFill="1" applyBorder="1" applyAlignment="1" applyProtection="1">
      <alignment horizontal="center"/>
    </xf>
    <xf numFmtId="164" fontId="2" fillId="6" borderId="53" xfId="1" applyNumberFormat="1" applyFont="1" applyFill="1" applyBorder="1" applyAlignment="1" applyProtection="1">
      <alignment horizontal="right"/>
      <protection locked="0"/>
    </xf>
    <xf numFmtId="9" fontId="2" fillId="12" borderId="53" xfId="3" applyFont="1" applyFill="1" applyBorder="1" applyAlignment="1" applyProtection="1">
      <alignment horizontal="center"/>
    </xf>
    <xf numFmtId="164" fontId="2" fillId="6" borderId="84" xfId="1" applyNumberFormat="1" applyFont="1" applyFill="1" applyBorder="1" applyAlignment="1" applyProtection="1">
      <alignment horizontal="right"/>
      <protection locked="0"/>
    </xf>
    <xf numFmtId="9" fontId="2" fillId="12" borderId="84" xfId="3" applyFont="1" applyFill="1" applyBorder="1" applyAlignment="1" applyProtection="1">
      <alignment horizontal="center"/>
    </xf>
    <xf numFmtId="164" fontId="2" fillId="12" borderId="59" xfId="1" applyNumberFormat="1" applyFont="1" applyFill="1" applyBorder="1" applyAlignment="1" applyProtection="1">
      <alignment horizontal="center"/>
      <protection locked="0"/>
    </xf>
    <xf numFmtId="0" fontId="6" fillId="12" borderId="59" xfId="0" applyFont="1" applyFill="1" applyBorder="1" applyProtection="1"/>
    <xf numFmtId="9" fontId="2" fillId="12" borderId="59" xfId="3" applyFont="1" applyFill="1" applyBorder="1" applyAlignment="1" applyProtection="1">
      <alignment horizontal="center"/>
    </xf>
    <xf numFmtId="0" fontId="6" fillId="12" borderId="54" xfId="0" applyFont="1" applyFill="1" applyBorder="1"/>
    <xf numFmtId="9" fontId="2" fillId="3" borderId="53" xfId="3" applyFont="1" applyFill="1" applyBorder="1" applyAlignment="1" applyProtection="1">
      <alignment horizontal="center"/>
      <protection locked="0"/>
    </xf>
    <xf numFmtId="9" fontId="2" fillId="12" borderId="53" xfId="3" applyFont="1" applyFill="1" applyBorder="1" applyAlignment="1">
      <alignment horizontal="center"/>
    </xf>
    <xf numFmtId="0" fontId="6" fillId="12" borderId="53" xfId="0" applyFont="1" applyFill="1" applyBorder="1"/>
    <xf numFmtId="164" fontId="2" fillId="12" borderId="53" xfId="1" applyNumberFormat="1" applyFont="1" applyFill="1" applyBorder="1" applyAlignment="1" applyProtection="1">
      <alignment horizontal="center"/>
    </xf>
    <xf numFmtId="164" fontId="2" fillId="12" borderId="55" xfId="1" applyNumberFormat="1" applyFont="1" applyFill="1" applyBorder="1" applyAlignment="1" applyProtection="1">
      <alignment horizontal="center"/>
    </xf>
    <xf numFmtId="0" fontId="6" fillId="0" borderId="0" xfId="0" applyFont="1" applyBorder="1"/>
    <xf numFmtId="0" fontId="6" fillId="0" borderId="0" xfId="0" applyFont="1" applyFill="1" applyBorder="1" applyProtection="1"/>
    <xf numFmtId="0" fontId="48" fillId="0" borderId="0" xfId="0" applyFont="1" applyFill="1" applyBorder="1" applyProtection="1"/>
    <xf numFmtId="165" fontId="6" fillId="12" borderId="13" xfId="2" applyNumberFormat="1" applyFont="1" applyFill="1" applyBorder="1"/>
    <xf numFmtId="164" fontId="6" fillId="12" borderId="24" xfId="1" applyNumberFormat="1" applyFont="1" applyFill="1" applyBorder="1" applyAlignment="1">
      <alignment horizontal="right"/>
    </xf>
    <xf numFmtId="164" fontId="6" fillId="12" borderId="0" xfId="1" applyNumberFormat="1" applyFont="1" applyFill="1" applyBorder="1" applyAlignment="1">
      <alignment horizontal="right"/>
    </xf>
    <xf numFmtId="164" fontId="6" fillId="12" borderId="12" xfId="1" applyNumberFormat="1" applyFont="1" applyFill="1" applyBorder="1" applyAlignment="1">
      <alignment horizontal="right"/>
    </xf>
    <xf numFmtId="0" fontId="2" fillId="11" borderId="0" xfId="0" applyFont="1" applyFill="1" applyBorder="1" applyAlignment="1">
      <alignment vertical="center"/>
    </xf>
    <xf numFmtId="165" fontId="2" fillId="11" borderId="0" xfId="2" applyNumberFormat="1" applyFont="1" applyFill="1" applyBorder="1" applyAlignment="1">
      <alignment horizontal="center" vertical="center" wrapText="1"/>
    </xf>
    <xf numFmtId="165" fontId="2" fillId="11" borderId="0" xfId="2" applyNumberFormat="1" applyFont="1" applyFill="1" applyBorder="1" applyAlignment="1">
      <alignment horizontal="center" vertical="center"/>
    </xf>
    <xf numFmtId="5" fontId="2" fillId="11" borderId="0" xfId="2" applyNumberFormat="1" applyFont="1" applyFill="1" applyBorder="1" applyAlignment="1">
      <alignment horizontal="center" vertical="center" wrapText="1"/>
    </xf>
    <xf numFmtId="165" fontId="2" fillId="11" borderId="12" xfId="2" applyNumberFormat="1" applyFont="1" applyFill="1" applyBorder="1" applyAlignment="1">
      <alignment horizontal="center" vertical="center" wrapText="1"/>
    </xf>
    <xf numFmtId="165" fontId="6" fillId="11" borderId="5" xfId="2" applyNumberFormat="1" applyFont="1" applyFill="1" applyBorder="1"/>
    <xf numFmtId="165" fontId="6" fillId="11" borderId="27" xfId="2" applyNumberFormat="1" applyFont="1" applyFill="1" applyBorder="1"/>
    <xf numFmtId="165" fontId="6" fillId="11" borderId="6" xfId="2" applyNumberFormat="1" applyFont="1" applyFill="1" applyBorder="1"/>
    <xf numFmtId="164" fontId="6" fillId="11" borderId="27" xfId="1" applyNumberFormat="1" applyFont="1" applyFill="1" applyBorder="1"/>
    <xf numFmtId="165" fontId="12" fillId="11" borderId="5" xfId="2" applyNumberFormat="1" applyFont="1" applyFill="1" applyBorder="1"/>
    <xf numFmtId="165" fontId="6" fillId="12" borderId="5" xfId="2" applyNumberFormat="1" applyFont="1" applyFill="1" applyBorder="1"/>
    <xf numFmtId="6" fontId="6" fillId="12" borderId="0" xfId="2" applyNumberFormat="1" applyFont="1" applyFill="1" applyBorder="1"/>
    <xf numFmtId="6" fontId="6" fillId="12" borderId="12" xfId="2" applyNumberFormat="1" applyFont="1" applyFill="1" applyBorder="1"/>
    <xf numFmtId="6" fontId="21" fillId="12" borderId="0" xfId="2" applyNumberFormat="1" applyFont="1" applyFill="1" applyBorder="1"/>
    <xf numFmtId="6" fontId="21" fillId="12" borderId="12" xfId="2" applyNumberFormat="1" applyFont="1" applyFill="1" applyBorder="1"/>
    <xf numFmtId="6" fontId="21" fillId="12" borderId="0" xfId="2" applyNumberFormat="1" applyFont="1" applyFill="1" applyBorder="1" applyAlignment="1">
      <alignment horizontal="right" indent="2"/>
    </xf>
    <xf numFmtId="164" fontId="6" fillId="12" borderId="5" xfId="1" applyNumberFormat="1" applyFont="1" applyFill="1" applyBorder="1"/>
    <xf numFmtId="165" fontId="12" fillId="12" borderId="0" xfId="2" applyNumberFormat="1" applyFont="1" applyFill="1" applyBorder="1"/>
    <xf numFmtId="6" fontId="12" fillId="12" borderId="0" xfId="2" applyNumberFormat="1" applyFont="1" applyFill="1" applyBorder="1"/>
    <xf numFmtId="6" fontId="12" fillId="12" borderId="12" xfId="2" applyNumberFormat="1" applyFont="1" applyFill="1" applyBorder="1"/>
    <xf numFmtId="6" fontId="21" fillId="12" borderId="5" xfId="2" applyNumberFormat="1" applyFont="1" applyFill="1" applyBorder="1"/>
    <xf numFmtId="165" fontId="12" fillId="12" borderId="13" xfId="2" applyNumberFormat="1" applyFont="1" applyFill="1" applyBorder="1"/>
    <xf numFmtId="164" fontId="2" fillId="12" borderId="29" xfId="1" applyNumberFormat="1" applyFont="1" applyFill="1" applyBorder="1"/>
    <xf numFmtId="164" fontId="2" fillId="12" borderId="30" xfId="1" applyNumberFormat="1" applyFont="1" applyFill="1" applyBorder="1"/>
    <xf numFmtId="165" fontId="2" fillId="12" borderId="30" xfId="2" applyNumberFormat="1" applyFont="1" applyFill="1" applyBorder="1"/>
    <xf numFmtId="165" fontId="23" fillId="12" borderId="30" xfId="2" applyNumberFormat="1" applyFont="1" applyFill="1" applyBorder="1"/>
    <xf numFmtId="165" fontId="20" fillId="12" borderId="19" xfId="2" applyNumberFormat="1" applyFont="1" applyFill="1" applyBorder="1"/>
    <xf numFmtId="165" fontId="20" fillId="12" borderId="30" xfId="2" applyNumberFormat="1" applyFont="1" applyFill="1" applyBorder="1"/>
    <xf numFmtId="6" fontId="20" fillId="12" borderId="30" xfId="2" applyNumberFormat="1" applyFont="1" applyFill="1" applyBorder="1"/>
    <xf numFmtId="6" fontId="20" fillId="12" borderId="18" xfId="2" applyNumberFormat="1" applyFont="1" applyFill="1" applyBorder="1"/>
    <xf numFmtId="0" fontId="28" fillId="12" borderId="34" xfId="0" applyFont="1" applyFill="1" applyBorder="1" applyAlignment="1">
      <alignment horizontal="center"/>
    </xf>
    <xf numFmtId="9" fontId="28" fillId="12" borderId="34" xfId="3" applyFont="1" applyFill="1" applyBorder="1" applyAlignment="1">
      <alignment horizontal="center"/>
    </xf>
    <xf numFmtId="0" fontId="28" fillId="12" borderId="23" xfId="0" applyFont="1" applyFill="1" applyBorder="1" applyAlignment="1">
      <alignment horizontal="center"/>
    </xf>
    <xf numFmtId="0" fontId="28" fillId="12" borderId="10" xfId="0" applyFont="1" applyFill="1" applyBorder="1" applyAlignment="1">
      <alignment horizontal="center"/>
    </xf>
    <xf numFmtId="0" fontId="6" fillId="12" borderId="10" xfId="0" applyFont="1" applyFill="1" applyBorder="1" applyAlignment="1">
      <alignment horizontal="right"/>
    </xf>
    <xf numFmtId="164" fontId="6" fillId="12" borderId="10" xfId="1" applyNumberFormat="1" applyFont="1" applyFill="1" applyBorder="1" applyAlignment="1">
      <alignment horizontal="right"/>
    </xf>
    <xf numFmtId="164" fontId="6" fillId="12" borderId="16" xfId="1" applyNumberFormat="1" applyFont="1" applyFill="1" applyBorder="1" applyAlignment="1">
      <alignment horizontal="right"/>
    </xf>
    <xf numFmtId="164" fontId="6" fillId="12" borderId="4" xfId="1" applyNumberFormat="1" applyFont="1" applyFill="1" applyBorder="1" applyAlignment="1">
      <alignment horizontal="right"/>
    </xf>
    <xf numFmtId="164" fontId="6" fillId="12" borderId="0" xfId="1" applyNumberFormat="1" applyFont="1" applyFill="1" applyBorder="1" applyAlignment="1"/>
    <xf numFmtId="164" fontId="6" fillId="12" borderId="11" xfId="1" applyNumberFormat="1" applyFont="1" applyFill="1" applyBorder="1" applyAlignment="1">
      <alignment horizontal="right"/>
    </xf>
    <xf numFmtId="164" fontId="6" fillId="12" borderId="0" xfId="1" applyNumberFormat="1" applyFont="1" applyFill="1" applyBorder="1" applyAlignment="1">
      <alignment horizontal="center"/>
    </xf>
    <xf numFmtId="0" fontId="28" fillId="12" borderId="0" xfId="0" applyFont="1" applyFill="1" applyBorder="1" applyAlignment="1">
      <alignment horizontal="center"/>
    </xf>
    <xf numFmtId="9" fontId="28" fillId="12" borderId="0" xfId="3" applyFont="1" applyFill="1" applyBorder="1" applyAlignment="1">
      <alignment horizontal="center"/>
    </xf>
    <xf numFmtId="0" fontId="28" fillId="12" borderId="11" xfId="0" applyFont="1" applyFill="1" applyBorder="1" applyAlignment="1">
      <alignment horizontal="center"/>
    </xf>
    <xf numFmtId="0" fontId="6" fillId="12" borderId="0" xfId="0" applyFont="1" applyFill="1" applyBorder="1" applyAlignment="1">
      <alignment horizontal="right"/>
    </xf>
    <xf numFmtId="0" fontId="6" fillId="12" borderId="11" xfId="0" applyFont="1" applyFill="1" applyBorder="1" applyAlignment="1">
      <alignment horizontal="right"/>
    </xf>
    <xf numFmtId="164" fontId="6" fillId="12" borderId="0" xfId="0" applyNumberFormat="1" applyFont="1" applyFill="1" applyBorder="1" applyAlignment="1">
      <alignment horizontal="right"/>
    </xf>
    <xf numFmtId="164" fontId="37" fillId="12" borderId="0" xfId="3" applyNumberFormat="1" applyFont="1" applyFill="1" applyBorder="1" applyAlignment="1">
      <alignment horizontal="center"/>
    </xf>
    <xf numFmtId="164" fontId="37" fillId="12" borderId="11" xfId="0" applyNumberFormat="1" applyFont="1" applyFill="1" applyBorder="1" applyAlignment="1">
      <alignment horizontal="center"/>
    </xf>
    <xf numFmtId="164" fontId="6" fillId="12" borderId="50" xfId="1" applyNumberFormat="1" applyFont="1" applyFill="1" applyBorder="1" applyAlignment="1">
      <alignment horizontal="right"/>
    </xf>
    <xf numFmtId="164" fontId="6" fillId="12" borderId="17" xfId="1" applyNumberFormat="1" applyFont="1" applyFill="1" applyBorder="1" applyAlignment="1">
      <alignment horizontal="right"/>
    </xf>
    <xf numFmtId="164" fontId="6" fillId="12" borderId="5" xfId="1" applyNumberFormat="1" applyFont="1" applyFill="1" applyBorder="1" applyAlignment="1">
      <alignment horizontal="right"/>
    </xf>
    <xf numFmtId="164" fontId="2" fillId="12" borderId="5" xfId="3" applyNumberFormat="1" applyFont="1" applyFill="1" applyBorder="1" applyAlignment="1">
      <alignment horizontal="right"/>
    </xf>
    <xf numFmtId="0" fontId="6" fillId="12" borderId="6" xfId="0" applyFont="1" applyFill="1" applyBorder="1" applyAlignment="1">
      <alignment horizontal="right"/>
    </xf>
    <xf numFmtId="164" fontId="18" fillId="12" borderId="19" xfId="0" applyNumberFormat="1" applyFont="1" applyFill="1" applyBorder="1" applyAlignment="1">
      <alignment horizontal="right"/>
    </xf>
    <xf numFmtId="0" fontId="18" fillId="12" borderId="13" xfId="0" applyFont="1" applyFill="1" applyBorder="1" applyAlignment="1">
      <alignment horizontal="center" wrapText="1"/>
    </xf>
    <xf numFmtId="0" fontId="15" fillId="12" borderId="10" xfId="0" applyFont="1" applyFill="1" applyBorder="1" applyAlignment="1">
      <alignment horizontal="center"/>
    </xf>
    <xf numFmtId="0" fontId="15" fillId="12" borderId="0" xfId="0" applyFont="1" applyFill="1" applyBorder="1" applyAlignment="1">
      <alignment horizontal="center"/>
    </xf>
    <xf numFmtId="9" fontId="15" fillId="12" borderId="0" xfId="3" applyFont="1" applyFill="1" applyBorder="1" applyAlignment="1">
      <alignment horizontal="center"/>
    </xf>
    <xf numFmtId="164" fontId="18" fillId="12" borderId="19" xfId="0" applyNumberFormat="1" applyFont="1" applyFill="1" applyBorder="1" applyAlignment="1">
      <alignment horizontal="center"/>
    </xf>
    <xf numFmtId="0" fontId="15" fillId="12" borderId="7" xfId="0" applyFont="1" applyFill="1" applyBorder="1" applyAlignment="1">
      <alignment horizontal="center"/>
    </xf>
    <xf numFmtId="0" fontId="15" fillId="12" borderId="34" xfId="0" applyFont="1" applyFill="1" applyBorder="1" applyAlignment="1">
      <alignment horizontal="center"/>
    </xf>
    <xf numFmtId="9" fontId="15" fillId="12" borderId="34" xfId="3" applyFont="1" applyFill="1" applyBorder="1" applyAlignment="1">
      <alignment horizontal="center"/>
    </xf>
    <xf numFmtId="0" fontId="15" fillId="12" borderId="23" xfId="0" applyFont="1" applyFill="1" applyBorder="1" applyAlignment="1">
      <alignment horizontal="center"/>
    </xf>
    <xf numFmtId="0" fontId="15" fillId="12" borderId="11" xfId="0" applyFont="1" applyFill="1" applyBorder="1" applyAlignment="1">
      <alignment horizontal="center"/>
    </xf>
    <xf numFmtId="164" fontId="2" fillId="12" borderId="19" xfId="0" applyNumberFormat="1" applyFont="1" applyFill="1" applyBorder="1" applyAlignment="1">
      <alignment horizontal="center"/>
    </xf>
    <xf numFmtId="0" fontId="4" fillId="14" borderId="0" xfId="4" applyFont="1" applyFill="1" applyAlignment="1" applyProtection="1">
      <alignment horizontal="center" vertical="center" wrapText="1"/>
      <protection locked="0"/>
    </xf>
    <xf numFmtId="0" fontId="2" fillId="14" borderId="0" xfId="0" applyFont="1" applyFill="1" applyAlignment="1">
      <alignment horizontal="center" vertical="center" wrapText="1"/>
    </xf>
    <xf numFmtId="0" fontId="2" fillId="14" borderId="0" xfId="0" applyFont="1" applyFill="1" applyAlignment="1" applyProtection="1">
      <alignment horizontal="center" vertical="center" wrapText="1"/>
      <protection locked="0"/>
    </xf>
    <xf numFmtId="0" fontId="15" fillId="14" borderId="0" xfId="4" applyFont="1" applyFill="1" applyAlignment="1" applyProtection="1">
      <alignment horizontal="center" wrapText="1"/>
      <protection locked="0"/>
    </xf>
    <xf numFmtId="0" fontId="2" fillId="14" borderId="0" xfId="0" applyFont="1" applyFill="1" applyAlignment="1">
      <alignment horizontal="left" wrapText="1"/>
    </xf>
    <xf numFmtId="0" fontId="35" fillId="14" borderId="0" xfId="0" applyFont="1" applyFill="1" applyProtection="1"/>
    <xf numFmtId="0" fontId="15" fillId="14" borderId="0" xfId="4" applyFont="1" applyFill="1" applyAlignment="1" applyProtection="1">
      <alignment horizontal="center" vertical="center" wrapText="1"/>
      <protection locked="0"/>
    </xf>
    <xf numFmtId="43" fontId="44" fillId="13" borderId="4" xfId="1" applyFont="1" applyFill="1" applyBorder="1"/>
    <xf numFmtId="43" fontId="44" fillId="13" borderId="48" xfId="1" applyFont="1" applyFill="1" applyBorder="1"/>
    <xf numFmtId="0" fontId="45" fillId="13" borderId="5" xfId="0" applyFont="1" applyFill="1" applyBorder="1"/>
    <xf numFmtId="165" fontId="45" fillId="13" borderId="5" xfId="2" applyNumberFormat="1" applyFont="1" applyFill="1" applyBorder="1"/>
    <xf numFmtId="165" fontId="45" fillId="13" borderId="28" xfId="2" applyNumberFormat="1" applyFont="1" applyFill="1" applyBorder="1"/>
    <xf numFmtId="165" fontId="45" fillId="13" borderId="32" xfId="2" applyNumberFormat="1" applyFont="1" applyFill="1" applyBorder="1"/>
    <xf numFmtId="165" fontId="45" fillId="13" borderId="27" xfId="2" applyNumberFormat="1" applyFont="1" applyFill="1" applyBorder="1"/>
    <xf numFmtId="5" fontId="45" fillId="13" borderId="5" xfId="2" applyNumberFormat="1" applyFont="1" applyFill="1" applyBorder="1"/>
    <xf numFmtId="165" fontId="45" fillId="13" borderId="6" xfId="2" applyNumberFormat="1" applyFont="1" applyFill="1" applyBorder="1"/>
    <xf numFmtId="164" fontId="45" fillId="13" borderId="5" xfId="1" applyNumberFormat="1" applyFont="1" applyFill="1" applyBorder="1"/>
    <xf numFmtId="6" fontId="45" fillId="13" borderId="5" xfId="2" applyNumberFormat="1" applyFont="1" applyFill="1" applyBorder="1"/>
    <xf numFmtId="6" fontId="45" fillId="13" borderId="6" xfId="2" applyNumberFormat="1" applyFont="1" applyFill="1" applyBorder="1"/>
    <xf numFmtId="10" fontId="9" fillId="13" borderId="22" xfId="3" applyNumberFormat="1" applyFont="1" applyFill="1" applyBorder="1"/>
    <xf numFmtId="43" fontId="9" fillId="13" borderId="4" xfId="1" applyFont="1" applyFill="1" applyBorder="1" applyAlignment="1">
      <alignment horizontal="center"/>
    </xf>
    <xf numFmtId="43" fontId="9" fillId="13" borderId="34" xfId="1" applyFont="1" applyFill="1" applyBorder="1" applyAlignment="1"/>
    <xf numFmtId="43" fontId="44" fillId="13" borderId="8" xfId="1" applyFont="1" applyFill="1" applyBorder="1"/>
    <xf numFmtId="0" fontId="9" fillId="13" borderId="8" xfId="0" applyFont="1" applyFill="1" applyBorder="1" applyAlignment="1">
      <alignment horizontal="center" vertical="center" wrapText="1"/>
    </xf>
    <xf numFmtId="43" fontId="9" fillId="13" borderId="21" xfId="1" applyFont="1" applyFill="1" applyBorder="1"/>
    <xf numFmtId="0" fontId="6" fillId="13" borderId="21" xfId="0" applyFont="1" applyFill="1" applyBorder="1"/>
    <xf numFmtId="165" fontId="6" fillId="13" borderId="21" xfId="2" applyNumberFormat="1" applyFont="1" applyFill="1" applyBorder="1"/>
    <xf numFmtId="43" fontId="44" fillId="13" borderId="7" xfId="1" applyFont="1" applyFill="1" applyBorder="1"/>
    <xf numFmtId="0" fontId="45" fillId="13" borderId="34" xfId="0" applyFont="1" applyFill="1" applyBorder="1"/>
    <xf numFmtId="43" fontId="44" fillId="13" borderId="34" xfId="1" applyFont="1" applyFill="1" applyBorder="1" applyAlignment="1">
      <alignment horizontal="center"/>
    </xf>
    <xf numFmtId="43" fontId="44" fillId="13" borderId="34" xfId="1" applyFont="1" applyFill="1" applyBorder="1" applyAlignment="1" applyProtection="1">
      <alignment horizontal="center"/>
    </xf>
    <xf numFmtId="43" fontId="46" fillId="13" borderId="23" xfId="1" applyFont="1" applyFill="1" applyBorder="1" applyAlignment="1" applyProtection="1">
      <alignment horizontal="center"/>
    </xf>
    <xf numFmtId="0" fontId="44" fillId="13" borderId="2" xfId="0" applyFont="1" applyFill="1" applyBorder="1" applyAlignment="1">
      <alignment horizontal="center" vertical="center"/>
    </xf>
    <xf numFmtId="0" fontId="44" fillId="13" borderId="2" xfId="0" applyFont="1" applyFill="1" applyBorder="1" applyAlignment="1">
      <alignment horizontal="center"/>
    </xf>
    <xf numFmtId="43" fontId="44" fillId="13" borderId="2" xfId="1" applyFont="1" applyFill="1" applyBorder="1" applyAlignment="1" applyProtection="1">
      <alignment horizontal="center"/>
    </xf>
    <xf numFmtId="0" fontId="37" fillId="13" borderId="56" xfId="0" applyFont="1" applyFill="1" applyBorder="1"/>
    <xf numFmtId="43" fontId="44" fillId="13" borderId="57" xfId="1" applyFont="1" applyFill="1" applyBorder="1" applyAlignment="1">
      <alignment horizontal="center"/>
    </xf>
    <xf numFmtId="43" fontId="44" fillId="13" borderId="57" xfId="1" applyFont="1" applyFill="1" applyBorder="1" applyAlignment="1" applyProtection="1">
      <alignment horizontal="center"/>
    </xf>
    <xf numFmtId="43" fontId="32" fillId="13" borderId="23" xfId="1" applyFont="1" applyFill="1" applyBorder="1" applyAlignment="1" applyProtection="1">
      <alignment horizontal="center"/>
    </xf>
    <xf numFmtId="43" fontId="44" fillId="13" borderId="19" xfId="1" applyFont="1" applyFill="1" applyBorder="1" applyAlignment="1" applyProtection="1">
      <alignment horizontal="center"/>
    </xf>
    <xf numFmtId="164" fontId="2" fillId="12" borderId="80" xfId="1" applyNumberFormat="1" applyFont="1" applyFill="1" applyBorder="1" applyAlignment="1" applyProtection="1">
      <alignment horizontal="center"/>
    </xf>
    <xf numFmtId="164" fontId="2" fillId="12" borderId="87" xfId="1" applyNumberFormat="1" applyFont="1" applyFill="1" applyBorder="1" applyAlignment="1" applyProtection="1">
      <alignment horizontal="center"/>
      <protection locked="0"/>
    </xf>
    <xf numFmtId="0" fontId="44" fillId="13" borderId="19" xfId="0" applyFont="1" applyFill="1" applyBorder="1" applyAlignment="1">
      <alignment horizontal="center"/>
    </xf>
    <xf numFmtId="0" fontId="35" fillId="13" borderId="21" xfId="0" applyFont="1" applyFill="1" applyBorder="1"/>
    <xf numFmtId="0" fontId="35" fillId="13" borderId="58" xfId="0" applyFont="1" applyFill="1" applyBorder="1" applyProtection="1"/>
    <xf numFmtId="43" fontId="9" fillId="13" borderId="15" xfId="1" applyFont="1" applyFill="1" applyBorder="1"/>
    <xf numFmtId="165" fontId="9" fillId="13" borderId="8" xfId="2" applyNumberFormat="1" applyFont="1" applyFill="1" applyBorder="1" applyAlignment="1" applyProtection="1">
      <alignment horizontal="center"/>
    </xf>
    <xf numFmtId="9" fontId="9" fillId="13" borderId="2" xfId="3" applyFont="1" applyFill="1" applyBorder="1" applyAlignment="1" applyProtection="1">
      <alignment horizontal="center"/>
    </xf>
    <xf numFmtId="165" fontId="9" fillId="13" borderId="8" xfId="2" applyNumberFormat="1" applyFont="1" applyFill="1" applyBorder="1" applyProtection="1"/>
    <xf numFmtId="43" fontId="44" fillId="13" borderId="0" xfId="1" applyFont="1" applyFill="1" applyProtection="1"/>
    <xf numFmtId="43" fontId="44" fillId="13" borderId="0" xfId="1" applyFont="1" applyFill="1" applyBorder="1" applyProtection="1"/>
    <xf numFmtId="165" fontId="9" fillId="13" borderId="26" xfId="2" applyNumberFormat="1" applyFont="1" applyFill="1" applyBorder="1" applyProtection="1"/>
    <xf numFmtId="165" fontId="8" fillId="13" borderId="25" xfId="2" applyNumberFormat="1" applyFont="1" applyFill="1" applyBorder="1" applyProtection="1"/>
    <xf numFmtId="165" fontId="12" fillId="13" borderId="25" xfId="2" applyNumberFormat="1" applyFont="1" applyFill="1" applyBorder="1" applyProtection="1"/>
    <xf numFmtId="165" fontId="9" fillId="13" borderId="25" xfId="2" applyNumberFormat="1" applyFont="1" applyFill="1" applyBorder="1" applyProtection="1"/>
    <xf numFmtId="43" fontId="2" fillId="0" borderId="4" xfId="1" applyFont="1" applyFill="1" applyBorder="1"/>
    <xf numFmtId="164" fontId="6" fillId="11" borderId="27" xfId="1" applyNumberFormat="1" applyFont="1" applyFill="1" applyBorder="1" applyAlignment="1">
      <alignment horizontal="right"/>
    </xf>
    <xf numFmtId="165" fontId="6" fillId="11" borderId="28" xfId="2" applyNumberFormat="1" applyFont="1" applyFill="1" applyBorder="1" applyAlignment="1">
      <alignment horizontal="right"/>
    </xf>
    <xf numFmtId="165" fontId="6" fillId="11" borderId="5" xfId="2" applyNumberFormat="1" applyFont="1" applyFill="1" applyBorder="1" applyAlignment="1">
      <alignment horizontal="right"/>
    </xf>
    <xf numFmtId="9" fontId="6" fillId="11" borderId="5" xfId="3" applyFont="1" applyFill="1" applyBorder="1"/>
    <xf numFmtId="165" fontId="6" fillId="11" borderId="27" xfId="2" applyNumberFormat="1" applyFont="1" applyFill="1" applyBorder="1" applyAlignment="1">
      <alignment horizontal="right"/>
    </xf>
    <xf numFmtId="164" fontId="12" fillId="11" borderId="5" xfId="1" applyNumberFormat="1" applyFont="1" applyFill="1" applyBorder="1"/>
    <xf numFmtId="6" fontId="12" fillId="11" borderId="32" xfId="2" applyNumberFormat="1" applyFont="1" applyFill="1" applyBorder="1"/>
    <xf numFmtId="6" fontId="12" fillId="11" borderId="32" xfId="3" applyNumberFormat="1" applyFont="1" applyFill="1" applyBorder="1"/>
    <xf numFmtId="6" fontId="12" fillId="11" borderId="27" xfId="3" applyNumberFormat="1" applyFont="1" applyFill="1" applyBorder="1"/>
    <xf numFmtId="6" fontId="12" fillId="11" borderId="33" xfId="2" applyNumberFormat="1" applyFont="1" applyFill="1" applyBorder="1"/>
    <xf numFmtId="0" fontId="9" fillId="13" borderId="4" xfId="0" applyFont="1" applyFill="1" applyBorder="1" applyAlignment="1">
      <alignment horizontal="center"/>
    </xf>
    <xf numFmtId="0" fontId="47" fillId="12" borderId="3" xfId="0" applyFont="1" applyFill="1" applyBorder="1" applyAlignment="1">
      <alignment horizontal="right"/>
    </xf>
    <xf numFmtId="164" fontId="2" fillId="12" borderId="14" xfId="0" applyNumberFormat="1" applyFont="1" applyFill="1" applyBorder="1" applyAlignment="1">
      <alignment horizontal="right"/>
    </xf>
    <xf numFmtId="0" fontId="2" fillId="12" borderId="14" xfId="0" applyFont="1" applyFill="1" applyBorder="1" applyAlignment="1">
      <alignment horizontal="right"/>
    </xf>
    <xf numFmtId="164" fontId="2" fillId="12" borderId="14" xfId="1" applyNumberFormat="1" applyFont="1" applyFill="1" applyBorder="1" applyAlignment="1">
      <alignment horizontal="right"/>
    </xf>
    <xf numFmtId="164" fontId="2" fillId="12" borderId="22" xfId="0" applyNumberFormat="1" applyFont="1" applyFill="1" applyBorder="1" applyAlignment="1">
      <alignment horizontal="right"/>
    </xf>
    <xf numFmtId="0" fontId="47" fillId="12" borderId="7" xfId="0" applyFont="1" applyFill="1" applyBorder="1" applyAlignment="1">
      <alignment horizontal="center"/>
    </xf>
    <xf numFmtId="164" fontId="2" fillId="12" borderId="10" xfId="0" applyNumberFormat="1" applyFont="1" applyFill="1" applyBorder="1" applyAlignment="1">
      <alignment horizontal="right"/>
    </xf>
    <xf numFmtId="0" fontId="47" fillId="12" borderId="10" xfId="0" applyFont="1" applyFill="1" applyBorder="1" applyAlignment="1">
      <alignment horizontal="center"/>
    </xf>
    <xf numFmtId="164" fontId="2" fillId="12" borderId="4" xfId="0" applyNumberFormat="1" applyFont="1" applyFill="1" applyBorder="1" applyAlignment="1">
      <alignment horizontal="right"/>
    </xf>
    <xf numFmtId="0" fontId="44" fillId="13" borderId="1" xfId="0" applyFont="1" applyFill="1" applyBorder="1" applyAlignment="1">
      <alignment horizontal="center"/>
    </xf>
    <xf numFmtId="0" fontId="6" fillId="2" borderId="0" xfId="0" applyFont="1" applyFill="1" applyBorder="1"/>
    <xf numFmtId="0" fontId="6" fillId="2" borderId="23" xfId="0" applyFont="1" applyFill="1" applyBorder="1" applyAlignment="1">
      <alignment horizontal="center" wrapText="1"/>
    </xf>
    <xf numFmtId="0" fontId="48" fillId="12" borderId="90" xfId="0" applyFont="1" applyFill="1" applyBorder="1" applyProtection="1"/>
    <xf numFmtId="0" fontId="6" fillId="12" borderId="92" xfId="0" applyFont="1" applyFill="1" applyBorder="1"/>
    <xf numFmtId="9" fontId="2" fillId="3" borderId="93" xfId="3" applyFont="1" applyFill="1" applyBorder="1" applyAlignment="1" applyProtection="1">
      <alignment horizontal="center"/>
      <protection locked="0"/>
    </xf>
    <xf numFmtId="9" fontId="2" fillId="12" borderId="93" xfId="3" applyFont="1" applyFill="1" applyBorder="1" applyAlignment="1">
      <alignment horizontal="center"/>
    </xf>
    <xf numFmtId="9" fontId="2" fillId="12" borderId="93" xfId="3" applyFont="1" applyFill="1" applyBorder="1" applyAlignment="1" applyProtection="1">
      <alignment horizontal="center"/>
    </xf>
    <xf numFmtId="0" fontId="48" fillId="12" borderId="94" xfId="0" applyFont="1" applyFill="1" applyBorder="1" applyProtection="1"/>
    <xf numFmtId="0" fontId="46" fillId="13" borderId="46" xfId="0" applyFont="1" applyFill="1" applyBorder="1" applyAlignment="1" applyProtection="1">
      <alignment horizontal="center"/>
    </xf>
    <xf numFmtId="0" fontId="29" fillId="0" borderId="37" xfId="0" applyFont="1" applyBorder="1"/>
    <xf numFmtId="0" fontId="43" fillId="12" borderId="46" xfId="0" applyFont="1" applyFill="1" applyBorder="1" applyAlignment="1" applyProtection="1">
      <alignment horizontal="left"/>
    </xf>
    <xf numFmtId="0" fontId="38" fillId="12" borderId="96" xfId="0" applyFont="1" applyFill="1" applyBorder="1" applyProtection="1"/>
    <xf numFmtId="0" fontId="49" fillId="12" borderId="97" xfId="0" applyFont="1" applyFill="1" applyBorder="1" applyAlignment="1" applyProtection="1">
      <alignment horizontal="center"/>
    </xf>
    <xf numFmtId="0" fontId="48" fillId="12" borderId="99" xfId="0" applyFont="1" applyFill="1" applyBorder="1" applyProtection="1"/>
    <xf numFmtId="0" fontId="2" fillId="12" borderId="101" xfId="0" applyFont="1" applyFill="1" applyBorder="1" applyAlignment="1" applyProtection="1">
      <alignment horizontal="right"/>
    </xf>
    <xf numFmtId="0" fontId="2" fillId="12" borderId="90" xfId="0" applyFont="1" applyFill="1" applyBorder="1" applyAlignment="1" applyProtection="1">
      <alignment horizontal="right"/>
    </xf>
    <xf numFmtId="0" fontId="2" fillId="0" borderId="38" xfId="0" applyFont="1" applyBorder="1"/>
    <xf numFmtId="0" fontId="49" fillId="12" borderId="46" xfId="0" applyFont="1" applyFill="1" applyBorder="1" applyProtection="1"/>
    <xf numFmtId="0" fontId="2" fillId="12" borderId="103" xfId="0" applyFont="1" applyFill="1" applyBorder="1" applyAlignment="1" applyProtection="1">
      <alignment horizontal="right"/>
    </xf>
    <xf numFmtId="0" fontId="48" fillId="12" borderId="104" xfId="0" applyFont="1" applyFill="1" applyBorder="1" applyProtection="1"/>
    <xf numFmtId="43" fontId="2" fillId="0" borderId="16" xfId="1" applyFont="1" applyFill="1" applyBorder="1"/>
    <xf numFmtId="164" fontId="2" fillId="12" borderId="105" xfId="1" applyNumberFormat="1" applyFont="1" applyFill="1" applyBorder="1" applyAlignment="1" applyProtection="1">
      <alignment horizontal="center"/>
    </xf>
    <xf numFmtId="9" fontId="2" fillId="12" borderId="105" xfId="3" applyFont="1" applyFill="1" applyBorder="1" applyAlignment="1" applyProtection="1">
      <alignment horizontal="center"/>
    </xf>
    <xf numFmtId="0" fontId="49" fillId="12" borderId="106" xfId="0" applyFont="1" applyFill="1" applyBorder="1"/>
    <xf numFmtId="0" fontId="37" fillId="12" borderId="79" xfId="0" applyFont="1" applyFill="1" applyBorder="1"/>
    <xf numFmtId="0" fontId="35" fillId="13" borderId="31" xfId="0" applyFont="1" applyFill="1" applyBorder="1"/>
    <xf numFmtId="0" fontId="44" fillId="13" borderId="19" xfId="0" applyFont="1" applyFill="1" applyBorder="1" applyAlignment="1">
      <alignment horizontal="center" vertical="center"/>
    </xf>
    <xf numFmtId="0" fontId="44" fillId="13" borderId="30" xfId="0" applyFont="1" applyFill="1" applyBorder="1" applyAlignment="1">
      <alignment horizontal="center"/>
    </xf>
    <xf numFmtId="0" fontId="35" fillId="13" borderId="31" xfId="0" applyFont="1" applyFill="1" applyBorder="1" applyProtection="1"/>
    <xf numFmtId="0" fontId="46" fillId="13" borderId="11" xfId="0" applyFont="1" applyFill="1" applyBorder="1" applyAlignment="1" applyProtection="1">
      <alignment horizontal="center"/>
    </xf>
    <xf numFmtId="164" fontId="29" fillId="13" borderId="31" xfId="1" applyNumberFormat="1" applyFont="1" applyFill="1" applyBorder="1" applyAlignment="1" applyProtection="1">
      <alignment horizontal="center"/>
      <protection locked="0"/>
    </xf>
    <xf numFmtId="43" fontId="44" fillId="13" borderId="19" xfId="1" applyFont="1" applyFill="1" applyBorder="1" applyAlignment="1">
      <alignment horizontal="center"/>
    </xf>
    <xf numFmtId="164" fontId="2" fillId="12" borderId="51" xfId="1" applyNumberFormat="1" applyFont="1" applyFill="1" applyBorder="1" applyAlignment="1" applyProtection="1">
      <alignment horizontal="center"/>
      <protection locked="0"/>
    </xf>
    <xf numFmtId="164" fontId="2" fillId="12" borderId="51" xfId="1" applyNumberFormat="1" applyFont="1" applyFill="1" applyBorder="1" applyAlignment="1" applyProtection="1">
      <alignment horizontal="center"/>
    </xf>
    <xf numFmtId="164" fontId="29" fillId="13" borderId="31" xfId="1" applyNumberFormat="1" applyFont="1" applyFill="1" applyBorder="1" applyAlignment="1" applyProtection="1">
      <alignment horizontal="center"/>
    </xf>
    <xf numFmtId="9" fontId="29" fillId="13" borderId="31" xfId="3" applyFont="1" applyFill="1" applyBorder="1" applyAlignment="1" applyProtection="1">
      <alignment horizontal="center"/>
    </xf>
    <xf numFmtId="164" fontId="2" fillId="12" borderId="84" xfId="1" applyNumberFormat="1" applyFont="1" applyFill="1" applyBorder="1" applyAlignment="1" applyProtection="1">
      <alignment horizontal="center"/>
    </xf>
    <xf numFmtId="0" fontId="48" fillId="12" borderId="107" xfId="0" applyFont="1" applyFill="1" applyBorder="1" applyProtection="1"/>
    <xf numFmtId="0" fontId="2" fillId="0" borderId="85" xfId="0" applyFont="1" applyBorder="1"/>
    <xf numFmtId="43" fontId="44" fillId="13" borderId="9" xfId="1" applyFont="1" applyFill="1" applyBorder="1" applyAlignment="1"/>
    <xf numFmtId="0" fontId="35" fillId="13" borderId="95" xfId="0" applyFont="1" applyFill="1" applyBorder="1"/>
    <xf numFmtId="43" fontId="44" fillId="13" borderId="108" xfId="1" applyFont="1" applyFill="1" applyBorder="1"/>
    <xf numFmtId="0" fontId="32" fillId="13" borderId="109" xfId="0" applyFont="1" applyFill="1" applyBorder="1" applyProtection="1"/>
    <xf numFmtId="0" fontId="46" fillId="13" borderId="35" xfId="0" applyFont="1" applyFill="1" applyBorder="1" applyAlignment="1" applyProtection="1">
      <alignment horizontal="center"/>
    </xf>
    <xf numFmtId="0" fontId="35" fillId="13" borderId="109" xfId="0" applyFont="1" applyFill="1" applyBorder="1" applyProtection="1"/>
    <xf numFmtId="0" fontId="35" fillId="13" borderId="108" xfId="0" applyFont="1" applyFill="1" applyBorder="1"/>
    <xf numFmtId="43" fontId="29" fillId="13" borderId="35" xfId="1" applyFont="1" applyFill="1" applyBorder="1" applyAlignment="1" applyProtection="1">
      <alignment horizontal="center"/>
    </xf>
    <xf numFmtId="43" fontId="2" fillId="2" borderId="86" xfId="1" applyFont="1" applyFill="1" applyBorder="1" applyAlignment="1">
      <alignment vertical="center"/>
    </xf>
    <xf numFmtId="43" fontId="2" fillId="2" borderId="89" xfId="1" applyFont="1" applyFill="1" applyBorder="1" applyAlignment="1">
      <alignment vertical="center"/>
    </xf>
    <xf numFmtId="43" fontId="2" fillId="2" borderId="98" xfId="1" applyFont="1" applyFill="1" applyBorder="1" applyAlignment="1">
      <alignment vertical="center"/>
    </xf>
    <xf numFmtId="43" fontId="2" fillId="2" borderId="100" xfId="1" applyFont="1" applyFill="1" applyBorder="1" applyAlignment="1">
      <alignment vertical="center"/>
    </xf>
    <xf numFmtId="43" fontId="2" fillId="2" borderId="102" xfId="1" applyFont="1" applyFill="1" applyBorder="1" applyAlignment="1">
      <alignment vertical="center"/>
    </xf>
    <xf numFmtId="43" fontId="2" fillId="2" borderId="91" xfId="1" applyFont="1" applyFill="1" applyBorder="1" applyAlignment="1">
      <alignment vertical="center"/>
    </xf>
    <xf numFmtId="0" fontId="2" fillId="0" borderId="0" xfId="0" applyFont="1" applyBorder="1"/>
    <xf numFmtId="0" fontId="6" fillId="12" borderId="52" xfId="0" applyFont="1" applyFill="1" applyBorder="1"/>
    <xf numFmtId="9" fontId="2" fillId="12" borderId="110" xfId="3" applyFont="1" applyFill="1" applyBorder="1" applyAlignment="1" applyProtection="1">
      <alignment horizontal="center"/>
      <protection locked="0"/>
    </xf>
    <xf numFmtId="164" fontId="29" fillId="3" borderId="53" xfId="1" applyNumberFormat="1" applyFont="1" applyFill="1" applyBorder="1" applyAlignment="1" applyProtection="1">
      <alignment horizontal="center"/>
      <protection locked="0"/>
    </xf>
    <xf numFmtId="0" fontId="51" fillId="12" borderId="103" xfId="0" applyFont="1" applyFill="1" applyBorder="1" applyAlignment="1" applyProtection="1">
      <alignment horizontal="center"/>
    </xf>
    <xf numFmtId="0" fontId="2" fillId="12" borderId="24" xfId="0" applyFont="1" applyFill="1" applyBorder="1" applyAlignment="1">
      <alignment horizontal="right" wrapText="1"/>
    </xf>
    <xf numFmtId="165" fontId="2" fillId="12" borderId="0" xfId="2" applyNumberFormat="1" applyFont="1" applyFill="1" applyBorder="1" applyAlignment="1">
      <alignment horizontal="right" wrapText="1"/>
    </xf>
    <xf numFmtId="165" fontId="2" fillId="12" borderId="24" xfId="2" applyNumberFormat="1" applyFont="1" applyFill="1" applyBorder="1" applyAlignment="1">
      <alignment horizontal="center" vertical="center"/>
    </xf>
    <xf numFmtId="165" fontId="2" fillId="12" borderId="12" xfId="2" applyNumberFormat="1" applyFont="1" applyFill="1" applyBorder="1" applyAlignment="1">
      <alignment horizontal="center" wrapText="1"/>
    </xf>
    <xf numFmtId="9" fontId="2" fillId="12" borderId="0" xfId="3" applyFont="1" applyFill="1" applyBorder="1" applyAlignment="1">
      <alignment horizontal="center" vertical="center" wrapText="1"/>
    </xf>
    <xf numFmtId="165" fontId="6" fillId="12" borderId="0" xfId="2" applyNumberFormat="1" applyFont="1" applyFill="1" applyBorder="1" applyAlignment="1">
      <alignment horizontal="right"/>
    </xf>
    <xf numFmtId="165" fontId="6" fillId="12" borderId="24" xfId="2" applyNumberFormat="1" applyFont="1" applyFill="1" applyBorder="1" applyAlignment="1">
      <alignment horizontal="right"/>
    </xf>
    <xf numFmtId="165" fontId="6" fillId="12" borderId="12" xfId="2" applyNumberFormat="1" applyFont="1" applyFill="1" applyBorder="1" applyAlignment="1">
      <alignment horizontal="right"/>
    </xf>
    <xf numFmtId="9" fontId="6" fillId="12" borderId="0" xfId="3" applyFont="1" applyFill="1" applyBorder="1"/>
    <xf numFmtId="165" fontId="6" fillId="12" borderId="12" xfId="2" applyNumberFormat="1" applyFont="1" applyFill="1" applyBorder="1"/>
    <xf numFmtId="165" fontId="6" fillId="12" borderId="24" xfId="2" applyNumberFormat="1" applyFont="1" applyFill="1" applyBorder="1"/>
    <xf numFmtId="164" fontId="6" fillId="12" borderId="27" xfId="1" applyNumberFormat="1" applyFont="1" applyFill="1" applyBorder="1" applyAlignment="1">
      <alignment horizontal="right"/>
    </xf>
    <xf numFmtId="165" fontId="6" fillId="12" borderId="5" xfId="2" applyNumberFormat="1" applyFont="1" applyFill="1" applyBorder="1" applyAlignment="1">
      <alignment horizontal="right"/>
    </xf>
    <xf numFmtId="165" fontId="6" fillId="12" borderId="27" xfId="2" applyNumberFormat="1" applyFont="1" applyFill="1" applyBorder="1" applyAlignment="1">
      <alignment horizontal="right"/>
    </xf>
    <xf numFmtId="165" fontId="6" fillId="12" borderId="28" xfId="2" applyNumberFormat="1" applyFont="1" applyFill="1" applyBorder="1" applyAlignment="1">
      <alignment horizontal="right"/>
    </xf>
    <xf numFmtId="9" fontId="6" fillId="12" borderId="5" xfId="3" applyFont="1" applyFill="1" applyBorder="1"/>
    <xf numFmtId="165" fontId="6" fillId="12" borderId="6" xfId="2" applyNumberFormat="1" applyFont="1" applyFill="1" applyBorder="1"/>
    <xf numFmtId="0" fontId="2" fillId="12" borderId="29" xfId="0" applyFont="1" applyFill="1" applyBorder="1" applyAlignment="1">
      <alignment horizontal="right"/>
    </xf>
    <xf numFmtId="165" fontId="2" fillId="12" borderId="30" xfId="2" applyNumberFormat="1" applyFont="1" applyFill="1" applyBorder="1" applyAlignment="1">
      <alignment horizontal="right"/>
    </xf>
    <xf numFmtId="165" fontId="2" fillId="12" borderId="29" xfId="2" applyNumberFormat="1" applyFont="1" applyFill="1" applyBorder="1" applyAlignment="1">
      <alignment horizontal="right"/>
    </xf>
    <xf numFmtId="165" fontId="2" fillId="12" borderId="18" xfId="2" applyNumberFormat="1" applyFont="1" applyFill="1" applyBorder="1" applyAlignment="1">
      <alignment horizontal="right"/>
    </xf>
    <xf numFmtId="9" fontId="2" fillId="12" borderId="30" xfId="3" applyFont="1" applyFill="1" applyBorder="1"/>
    <xf numFmtId="165" fontId="2" fillId="12" borderId="18" xfId="2" applyNumberFormat="1" applyFont="1" applyFill="1" applyBorder="1"/>
    <xf numFmtId="0" fontId="4" fillId="14" borderId="0" xfId="4" applyFont="1" applyFill="1" applyAlignment="1" applyProtection="1">
      <alignment wrapText="1"/>
    </xf>
    <xf numFmtId="0" fontId="2" fillId="14" borderId="0" xfId="0" applyFont="1" applyFill="1" applyAlignment="1">
      <alignment wrapText="1"/>
    </xf>
    <xf numFmtId="164" fontId="29" fillId="15" borderId="51" xfId="1" applyNumberFormat="1" applyFont="1" applyFill="1" applyBorder="1" applyAlignment="1" applyProtection="1">
      <alignment horizontal="center"/>
      <protection locked="0"/>
    </xf>
    <xf numFmtId="164" fontId="29" fillId="15" borderId="53" xfId="1" applyNumberFormat="1" applyFont="1" applyFill="1" applyBorder="1" applyAlignment="1" applyProtection="1">
      <alignment horizontal="center"/>
      <protection locked="0"/>
    </xf>
    <xf numFmtId="39" fontId="21" fillId="12" borderId="63" xfId="1" applyNumberFormat="1" applyFont="1" applyFill="1" applyBorder="1" applyProtection="1"/>
    <xf numFmtId="43" fontId="44" fillId="13" borderId="111" xfId="1" applyFont="1" applyFill="1" applyBorder="1"/>
    <xf numFmtId="43" fontId="6" fillId="2" borderId="20" xfId="1" applyFont="1" applyFill="1" applyBorder="1" applyAlignment="1">
      <alignment horizontal="center"/>
    </xf>
    <xf numFmtId="164" fontId="6" fillId="2" borderId="0" xfId="1" applyNumberFormat="1" applyFont="1" applyFill="1" applyBorder="1"/>
    <xf numFmtId="43" fontId="6" fillId="2" borderId="0" xfId="1" applyFont="1" applyFill="1" applyBorder="1" applyAlignment="1">
      <alignment horizontal="center"/>
    </xf>
    <xf numFmtId="164" fontId="12" fillId="2" borderId="0" xfId="1" applyNumberFormat="1" applyFont="1" applyFill="1" applyBorder="1"/>
    <xf numFmtId="43" fontId="12" fillId="2" borderId="0" xfId="1" applyFont="1" applyFill="1" applyBorder="1"/>
    <xf numFmtId="43" fontId="6" fillId="2" borderId="0" xfId="1" applyFont="1" applyFill="1" applyBorder="1"/>
    <xf numFmtId="43" fontId="6" fillId="2" borderId="30" xfId="1" applyFont="1" applyFill="1" applyBorder="1"/>
    <xf numFmtId="0" fontId="28" fillId="12" borderId="7" xfId="0" applyFont="1" applyFill="1" applyBorder="1" applyAlignment="1">
      <alignment horizontal="center"/>
    </xf>
    <xf numFmtId="164" fontId="2" fillId="12" borderId="1" xfId="0" applyNumberFormat="1" applyFont="1" applyFill="1" applyBorder="1" applyAlignment="1">
      <alignment horizontal="right"/>
    </xf>
    <xf numFmtId="43" fontId="11" fillId="13" borderId="1" xfId="1" applyFont="1" applyFill="1" applyBorder="1"/>
    <xf numFmtId="43" fontId="9" fillId="13" borderId="6" xfId="1" applyFont="1" applyFill="1" applyBorder="1" applyAlignment="1"/>
    <xf numFmtId="43" fontId="6" fillId="12" borderId="24" xfId="1" applyFont="1" applyFill="1" applyBorder="1" applyAlignment="1">
      <alignment horizontal="right"/>
    </xf>
    <xf numFmtId="43" fontId="6" fillId="12" borderId="12" xfId="1" applyFont="1" applyFill="1" applyBorder="1" applyAlignment="1">
      <alignment horizontal="right"/>
    </xf>
    <xf numFmtId="43" fontId="42" fillId="2" borderId="4" xfId="1" applyFont="1" applyFill="1" applyBorder="1" applyAlignment="1">
      <alignment horizontal="right"/>
    </xf>
    <xf numFmtId="43" fontId="42" fillId="2" borderId="6" xfId="1" applyFont="1" applyFill="1" applyBorder="1" applyAlignment="1">
      <alignment horizontal="right"/>
    </xf>
    <xf numFmtId="6" fontId="6" fillId="12" borderId="24" xfId="2" applyNumberFormat="1" applyFont="1" applyFill="1" applyBorder="1"/>
    <xf numFmtId="6" fontId="21" fillId="12" borderId="24" xfId="2" applyNumberFormat="1" applyFont="1" applyFill="1" applyBorder="1"/>
    <xf numFmtId="6" fontId="45" fillId="13" borderId="27" xfId="2" applyNumberFormat="1" applyFont="1" applyFill="1" applyBorder="1"/>
    <xf numFmtId="6" fontId="12" fillId="12" borderId="24" xfId="2" applyNumberFormat="1" applyFont="1" applyFill="1" applyBorder="1"/>
    <xf numFmtId="6" fontId="21" fillId="12" borderId="27" xfId="2" applyNumberFormat="1" applyFont="1" applyFill="1" applyBorder="1"/>
    <xf numFmtId="6" fontId="21" fillId="12" borderId="28" xfId="2" applyNumberFormat="1" applyFont="1" applyFill="1" applyBorder="1"/>
    <xf numFmtId="6" fontId="20" fillId="12" borderId="29" xfId="2" applyNumberFormat="1" applyFont="1" applyFill="1" applyBorder="1"/>
    <xf numFmtId="0" fontId="2" fillId="12" borderId="27" xfId="0" applyFont="1" applyFill="1" applyBorder="1" applyAlignment="1">
      <alignment horizontal="right"/>
    </xf>
    <xf numFmtId="165" fontId="2" fillId="12" borderId="5" xfId="2" applyNumberFormat="1" applyFont="1" applyFill="1" applyBorder="1" applyAlignment="1">
      <alignment horizontal="right"/>
    </xf>
    <xf numFmtId="165" fontId="2" fillId="12" borderId="27" xfId="2" applyNumberFormat="1" applyFont="1" applyFill="1" applyBorder="1" applyAlignment="1">
      <alignment horizontal="right"/>
    </xf>
    <xf numFmtId="164" fontId="2" fillId="12" borderId="6" xfId="1" applyNumberFormat="1" applyFont="1" applyFill="1" applyBorder="1" applyAlignment="1">
      <alignment horizontal="right"/>
    </xf>
    <xf numFmtId="165" fontId="6" fillId="2" borderId="0" xfId="0" applyNumberFormat="1" applyFont="1" applyFill="1"/>
    <xf numFmtId="0" fontId="57" fillId="0" borderId="0" xfId="0" applyFont="1"/>
    <xf numFmtId="0" fontId="35" fillId="10" borderId="2" xfId="0" applyFont="1" applyFill="1" applyBorder="1" applyAlignment="1">
      <alignment horizontal="center"/>
    </xf>
    <xf numFmtId="0" fontId="35" fillId="14" borderId="0" xfId="0" applyFont="1" applyFill="1"/>
    <xf numFmtId="0" fontId="2" fillId="10" borderId="29" xfId="0" applyFont="1" applyFill="1" applyBorder="1" applyAlignment="1">
      <alignment horizontal="left"/>
    </xf>
    <xf numFmtId="0" fontId="2" fillId="10" borderId="30" xfId="0" applyFont="1" applyFill="1" applyBorder="1" applyAlignment="1">
      <alignment horizontal="center"/>
    </xf>
    <xf numFmtId="0" fontId="2" fillId="10" borderId="19" xfId="0" applyFont="1" applyFill="1" applyBorder="1" applyAlignment="1">
      <alignment horizontal="center"/>
    </xf>
    <xf numFmtId="43" fontId="57" fillId="0" borderId="0" xfId="1" applyFont="1"/>
    <xf numFmtId="0" fontId="35" fillId="0" borderId="34" xfId="0" applyFont="1" applyBorder="1"/>
    <xf numFmtId="0" fontId="9" fillId="9" borderId="19" xfId="0" applyFont="1" applyFill="1" applyBorder="1" applyAlignment="1">
      <alignment horizontal="center"/>
    </xf>
    <xf numFmtId="0" fontId="35" fillId="0" borderId="113" xfId="0" applyFont="1" applyFill="1" applyBorder="1"/>
    <xf numFmtId="43" fontId="29" fillId="0" borderId="7" xfId="1" applyFont="1" applyFill="1" applyBorder="1"/>
    <xf numFmtId="0" fontId="35" fillId="0" borderId="40" xfId="0" applyFont="1" applyBorder="1"/>
    <xf numFmtId="43" fontId="13" fillId="2" borderId="50" xfId="1" applyFont="1" applyFill="1" applyBorder="1"/>
    <xf numFmtId="43" fontId="13" fillId="2" borderId="16" xfId="1" applyFont="1" applyFill="1" applyBorder="1"/>
    <xf numFmtId="43" fontId="29" fillId="0" borderId="37" xfId="1" applyFont="1" applyFill="1" applyBorder="1"/>
    <xf numFmtId="0" fontId="9" fillId="9" borderId="114" xfId="0" applyFont="1" applyFill="1" applyBorder="1" applyAlignment="1">
      <alignment horizontal="center"/>
    </xf>
    <xf numFmtId="0" fontId="0" fillId="16" borderId="46" xfId="0" applyFill="1" applyBorder="1"/>
    <xf numFmtId="0" fontId="0" fillId="16" borderId="112" xfId="0" applyFill="1" applyBorder="1"/>
    <xf numFmtId="0" fontId="9" fillId="9" borderId="116" xfId="0" applyFont="1" applyFill="1" applyBorder="1" applyAlignment="1">
      <alignment horizontal="center"/>
    </xf>
    <xf numFmtId="0" fontId="0" fillId="0" borderId="0" xfId="0" applyAlignment="1">
      <alignment horizontal="center"/>
    </xf>
    <xf numFmtId="0" fontId="9" fillId="9" borderId="3" xfId="0" applyFont="1" applyFill="1" applyBorder="1" applyAlignment="1">
      <alignment horizontal="center"/>
    </xf>
    <xf numFmtId="0" fontId="6" fillId="0" borderId="34" xfId="0" applyFont="1" applyFill="1" applyBorder="1" applyAlignment="1">
      <alignment horizontal="center"/>
    </xf>
    <xf numFmtId="0" fontId="2" fillId="0" borderId="3" xfId="0" applyFont="1" applyFill="1" applyBorder="1" applyAlignment="1">
      <alignment horizontal="center" vertical="center"/>
    </xf>
    <xf numFmtId="0" fontId="6" fillId="0" borderId="14" xfId="0" applyFont="1" applyFill="1" applyBorder="1" applyAlignment="1">
      <alignment horizontal="center"/>
    </xf>
    <xf numFmtId="0" fontId="6" fillId="0" borderId="22" xfId="0" applyFont="1" applyFill="1" applyBorder="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9" fillId="9" borderId="42" xfId="0" applyFont="1" applyFill="1" applyBorder="1" applyAlignment="1">
      <alignment horizontal="center"/>
    </xf>
    <xf numFmtId="0" fontId="35" fillId="0" borderId="0" xfId="0" applyFont="1" applyAlignment="1">
      <alignment horizontal="center"/>
    </xf>
    <xf numFmtId="9" fontId="0" fillId="16" borderId="46" xfId="0" applyNumberFormat="1" applyFill="1" applyBorder="1"/>
    <xf numFmtId="0" fontId="28" fillId="8" borderId="47" xfId="0" applyFont="1" applyFill="1" applyBorder="1" applyAlignment="1">
      <alignment horizontal="center"/>
    </xf>
    <xf numFmtId="0" fontId="6" fillId="8" borderId="47" xfId="0" applyFont="1" applyFill="1" applyBorder="1" applyAlignment="1">
      <alignment horizontal="right"/>
    </xf>
    <xf numFmtId="0" fontId="35" fillId="0" borderId="112" xfId="0" applyFont="1" applyBorder="1"/>
    <xf numFmtId="0" fontId="0" fillId="16" borderId="35" xfId="0" applyFill="1" applyBorder="1"/>
    <xf numFmtId="0" fontId="35" fillId="0" borderId="46" xfId="0" applyFont="1" applyBorder="1"/>
    <xf numFmtId="43" fontId="27" fillId="2" borderId="14" xfId="1" applyFont="1" applyFill="1" applyBorder="1"/>
    <xf numFmtId="43" fontId="50" fillId="13" borderId="45" xfId="1" applyFont="1" applyFill="1" applyBorder="1"/>
    <xf numFmtId="43" fontId="14" fillId="13" borderId="45" xfId="1" applyFont="1" applyFill="1" applyBorder="1"/>
    <xf numFmtId="43" fontId="16" fillId="13" borderId="115" xfId="1" applyFont="1" applyFill="1" applyBorder="1"/>
    <xf numFmtId="0" fontId="2" fillId="12" borderId="15" xfId="1" applyNumberFormat="1" applyFont="1" applyFill="1" applyBorder="1" applyAlignment="1">
      <alignment horizontal="center"/>
    </xf>
    <xf numFmtId="0" fontId="2" fillId="12" borderId="20" xfId="1" applyNumberFormat="1" applyFont="1" applyFill="1" applyBorder="1" applyAlignment="1">
      <alignment horizontal="center"/>
    </xf>
    <xf numFmtId="0" fontId="2" fillId="12" borderId="8" xfId="1" applyNumberFormat="1" applyFont="1" applyFill="1" applyBorder="1" applyAlignment="1">
      <alignment horizontal="center"/>
    </xf>
    <xf numFmtId="0" fontId="2" fillId="11" borderId="24" xfId="0" applyFont="1" applyFill="1" applyBorder="1" applyAlignment="1">
      <alignment horizontal="center" vertical="center"/>
    </xf>
    <xf numFmtId="0" fontId="21" fillId="0" borderId="50" xfId="0" applyFont="1" applyFill="1" applyBorder="1"/>
    <xf numFmtId="0" fontId="21" fillId="0" borderId="117" xfId="0" applyFont="1" applyFill="1" applyBorder="1"/>
    <xf numFmtId="165" fontId="21" fillId="0" borderId="118" xfId="2" applyNumberFormat="1" applyFont="1" applyFill="1" applyBorder="1"/>
    <xf numFmtId="165" fontId="21" fillId="0" borderId="42" xfId="2" applyNumberFormat="1" applyFont="1" applyFill="1" applyBorder="1"/>
    <xf numFmtId="9" fontId="21" fillId="0" borderId="42" xfId="3" applyFont="1" applyFill="1" applyBorder="1"/>
    <xf numFmtId="165" fontId="21" fillId="0" borderId="106" xfId="2" applyNumberFormat="1" applyFont="1" applyFill="1" applyBorder="1"/>
    <xf numFmtId="0" fontId="2" fillId="12" borderId="26" xfId="1" applyNumberFormat="1" applyFont="1" applyFill="1" applyBorder="1" applyAlignment="1">
      <alignment horizontal="center"/>
    </xf>
    <xf numFmtId="0" fontId="2" fillId="12" borderId="21" xfId="1" applyNumberFormat="1" applyFont="1" applyFill="1" applyBorder="1" applyAlignment="1">
      <alignment horizontal="center"/>
    </xf>
    <xf numFmtId="0" fontId="2" fillId="12" borderId="25" xfId="1" applyNumberFormat="1" applyFont="1" applyFill="1" applyBorder="1" applyAlignment="1">
      <alignment horizontal="center"/>
    </xf>
    <xf numFmtId="43" fontId="44" fillId="13" borderId="27" xfId="1" applyFont="1" applyFill="1" applyBorder="1" applyAlignment="1">
      <alignment horizontal="center"/>
    </xf>
    <xf numFmtId="43" fontId="44" fillId="13" borderId="5" xfId="1" applyFont="1" applyFill="1" applyBorder="1" applyAlignment="1">
      <alignment horizontal="center"/>
    </xf>
    <xf numFmtId="43" fontId="44" fillId="13" borderId="5" xfId="1" applyFont="1" applyFill="1" applyBorder="1"/>
    <xf numFmtId="43" fontId="44" fillId="13" borderId="6" xfId="1" applyFont="1" applyFill="1" applyBorder="1"/>
    <xf numFmtId="0" fontId="44" fillId="13" borderId="27" xfId="0" applyFont="1" applyFill="1" applyBorder="1" applyAlignment="1">
      <alignment horizontal="center"/>
    </xf>
    <xf numFmtId="164" fontId="44" fillId="13" borderId="27" xfId="1" applyNumberFormat="1" applyFont="1" applyFill="1" applyBorder="1" applyAlignment="1">
      <alignment horizontal="center" vertical="center"/>
    </xf>
    <xf numFmtId="164" fontId="45" fillId="13" borderId="27" xfId="1" applyNumberFormat="1" applyFont="1" applyFill="1" applyBorder="1"/>
    <xf numFmtId="0" fontId="35" fillId="0" borderId="30" xfId="0" applyFont="1" applyBorder="1"/>
    <xf numFmtId="0" fontId="2" fillId="2" borderId="30" xfId="0" applyFont="1" applyFill="1" applyBorder="1"/>
    <xf numFmtId="0" fontId="0" fillId="0" borderId="30" xfId="0" applyBorder="1"/>
    <xf numFmtId="0" fontId="2" fillId="2" borderId="30" xfId="0" applyFont="1" applyFill="1" applyBorder="1" applyAlignment="1">
      <alignment horizontal="left"/>
    </xf>
    <xf numFmtId="0" fontId="2" fillId="2" borderId="30" xfId="1" applyNumberFormat="1" applyFont="1" applyFill="1" applyBorder="1" applyAlignment="1">
      <alignment horizontal="left"/>
    </xf>
    <xf numFmtId="164" fontId="20" fillId="12" borderId="119" xfId="1" applyNumberFormat="1" applyFont="1" applyFill="1" applyBorder="1" applyAlignment="1">
      <alignment horizontal="center" vertical="center" wrapText="1"/>
    </xf>
    <xf numFmtId="164" fontId="20" fillId="12" borderId="88" xfId="1" applyNumberFormat="1" applyFont="1" applyFill="1" applyBorder="1" applyAlignment="1">
      <alignment horizontal="center" vertical="center" wrapText="1"/>
    </xf>
    <xf numFmtId="165" fontId="20" fillId="12" borderId="88" xfId="2" applyNumberFormat="1" applyFont="1" applyFill="1" applyBorder="1" applyAlignment="1">
      <alignment horizontal="center" vertical="center" wrapText="1"/>
    </xf>
    <xf numFmtId="6" fontId="20" fillId="12" borderId="88" xfId="2" applyNumberFormat="1" applyFont="1" applyFill="1" applyBorder="1" applyAlignment="1">
      <alignment horizontal="center" vertical="center" wrapText="1"/>
    </xf>
    <xf numFmtId="6" fontId="20" fillId="12" borderId="120" xfId="2" applyNumberFormat="1" applyFont="1" applyFill="1" applyBorder="1" applyAlignment="1">
      <alignment horizontal="center" vertical="center" wrapText="1"/>
    </xf>
    <xf numFmtId="0" fontId="60" fillId="12" borderId="13" xfId="0" applyFont="1" applyFill="1" applyBorder="1" applyAlignment="1">
      <alignment horizontal="center" wrapText="1"/>
    </xf>
    <xf numFmtId="0" fontId="61" fillId="12" borderId="13" xfId="0" applyFont="1" applyFill="1" applyBorder="1" applyAlignment="1">
      <alignment horizontal="center" wrapText="1"/>
    </xf>
    <xf numFmtId="0" fontId="62" fillId="12" borderId="13" xfId="0" applyFont="1" applyFill="1" applyBorder="1" applyAlignment="1">
      <alignment horizontal="center" wrapText="1"/>
    </xf>
    <xf numFmtId="9" fontId="21" fillId="12" borderId="13" xfId="3" applyFont="1" applyFill="1" applyBorder="1" applyAlignment="1" applyProtection="1">
      <alignment horizontal="right"/>
    </xf>
    <xf numFmtId="9" fontId="21" fillId="12" borderId="19" xfId="3" applyFont="1" applyFill="1" applyBorder="1" applyAlignment="1" applyProtection="1">
      <alignment horizontal="right"/>
    </xf>
    <xf numFmtId="0" fontId="63" fillId="0" borderId="30" xfId="0" applyFont="1" applyFill="1" applyBorder="1" applyProtection="1">
      <protection locked="0"/>
    </xf>
    <xf numFmtId="0" fontId="9" fillId="13" borderId="5"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9" fillId="13" borderId="4" xfId="0" applyFont="1" applyFill="1" applyBorder="1" applyAlignment="1">
      <alignment horizontal="center"/>
    </xf>
    <xf numFmtId="0" fontId="9" fillId="9" borderId="8" xfId="0" applyFont="1" applyFill="1" applyBorder="1" applyAlignment="1">
      <alignment horizontal="center" wrapText="1"/>
    </xf>
    <xf numFmtId="0" fontId="58" fillId="9" borderId="20" xfId="0" applyFont="1" applyFill="1" applyBorder="1" applyAlignment="1">
      <alignment wrapText="1"/>
    </xf>
    <xf numFmtId="0" fontId="58" fillId="9" borderId="15" xfId="0" applyFont="1" applyFill="1" applyBorder="1" applyAlignment="1">
      <alignment wrapText="1"/>
    </xf>
    <xf numFmtId="0" fontId="2" fillId="10" borderId="8" xfId="0" applyFont="1" applyFill="1" applyBorder="1" applyAlignment="1">
      <alignment horizontal="center"/>
    </xf>
    <xf numFmtId="0" fontId="6" fillId="10" borderId="15" xfId="0" applyFont="1" applyFill="1" applyBorder="1" applyAlignment="1">
      <alignment horizontal="center"/>
    </xf>
    <xf numFmtId="0" fontId="9" fillId="13" borderId="8" xfId="0" applyFont="1" applyFill="1" applyBorder="1" applyAlignment="1" applyProtection="1">
      <alignment horizontal="center"/>
    </xf>
    <xf numFmtId="0" fontId="9" fillId="13" borderId="15" xfId="0" applyFont="1" applyFill="1" applyBorder="1" applyAlignment="1" applyProtection="1">
      <alignment horizontal="center"/>
    </xf>
  </cellXfs>
  <cellStyles count="5">
    <cellStyle name="Comma" xfId="1" builtinId="3"/>
    <cellStyle name="Currency" xfId="2" builtinId="4"/>
    <cellStyle name="Hyperlink" xfId="4" builtinId="8"/>
    <cellStyle name="Normal" xfId="0" builtinId="0"/>
    <cellStyle name="Percent" xfId="3" builtinId="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F6310A"/>
      <color rgb="FFFFFF99"/>
      <color rgb="FFF55F07"/>
      <color rgb="FF00542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pageSetUpPr fitToPage="1"/>
  </sheetPr>
  <dimension ref="A1:WVM55"/>
  <sheetViews>
    <sheetView zoomScaleNormal="100" zoomScaleSheetLayoutView="85" zoomScalePageLayoutView="55" workbookViewId="0">
      <selection activeCell="E25" sqref="E25"/>
    </sheetView>
  </sheetViews>
  <sheetFormatPr defaultColWidth="0" defaultRowHeight="15" zeroHeight="1" x14ac:dyDescent="0.25"/>
  <cols>
    <col min="1" max="1" width="24.42578125" customWidth="1"/>
    <col min="2" max="2" width="1.85546875" customWidth="1"/>
    <col min="3" max="3" width="7" customWidth="1"/>
    <col min="4" max="4" width="3.28515625" bestFit="1" customWidth="1"/>
    <col min="5" max="5" width="127" bestFit="1" customWidth="1"/>
    <col min="6" max="6" width="9.140625" customWidth="1"/>
    <col min="7" max="256" width="9.140625" hidden="1"/>
    <col min="257" max="257" width="22.140625" hidden="1"/>
    <col min="258" max="258" width="1.85546875" hidden="1"/>
    <col min="259" max="259" width="9.140625" hidden="1"/>
    <col min="260" max="260" width="3.28515625" hidden="1"/>
    <col min="261" max="261" width="127" hidden="1"/>
    <col min="262" max="512" width="9.140625" hidden="1"/>
    <col min="513" max="513" width="22.140625" hidden="1"/>
    <col min="514" max="514" width="1.85546875" hidden="1"/>
    <col min="515" max="515" width="9.140625" hidden="1"/>
    <col min="516" max="516" width="3.28515625" hidden="1"/>
    <col min="517" max="517" width="127" hidden="1"/>
    <col min="518" max="768" width="9.140625" hidden="1"/>
    <col min="769" max="769" width="22.140625" hidden="1"/>
    <col min="770" max="770" width="1.85546875" hidden="1"/>
    <col min="771" max="771" width="9.140625" hidden="1"/>
    <col min="772" max="772" width="3.28515625" hidden="1"/>
    <col min="773" max="773" width="127" hidden="1"/>
    <col min="774" max="1024" width="9.140625" hidden="1"/>
    <col min="1025" max="1025" width="22.140625" hidden="1"/>
    <col min="1026" max="1026" width="1.85546875" hidden="1"/>
    <col min="1027" max="1027" width="9.140625" hidden="1"/>
    <col min="1028" max="1028" width="3.28515625" hidden="1"/>
    <col min="1029" max="1029" width="127" hidden="1"/>
    <col min="1030" max="1280" width="9.140625" hidden="1"/>
    <col min="1281" max="1281" width="22.140625" hidden="1"/>
    <col min="1282" max="1282" width="1.85546875" hidden="1"/>
    <col min="1283" max="1283" width="9.140625" hidden="1"/>
    <col min="1284" max="1284" width="3.28515625" hidden="1"/>
    <col min="1285" max="1285" width="127" hidden="1"/>
    <col min="1286" max="1536" width="9.140625" hidden="1"/>
    <col min="1537" max="1537" width="22.140625" hidden="1"/>
    <col min="1538" max="1538" width="1.85546875" hidden="1"/>
    <col min="1539" max="1539" width="9.140625" hidden="1"/>
    <col min="1540" max="1540" width="3.28515625" hidden="1"/>
    <col min="1541" max="1541" width="127" hidden="1"/>
    <col min="1542" max="1792" width="9.140625" hidden="1"/>
    <col min="1793" max="1793" width="22.140625" hidden="1"/>
    <col min="1794" max="1794" width="1.85546875" hidden="1"/>
    <col min="1795" max="1795" width="9.140625" hidden="1"/>
    <col min="1796" max="1796" width="3.28515625" hidden="1"/>
    <col min="1797" max="1797" width="127" hidden="1"/>
    <col min="1798" max="2048" width="9.140625" hidden="1"/>
    <col min="2049" max="2049" width="22.140625" hidden="1"/>
    <col min="2050" max="2050" width="1.85546875" hidden="1"/>
    <col min="2051" max="2051" width="9.140625" hidden="1"/>
    <col min="2052" max="2052" width="3.28515625" hidden="1"/>
    <col min="2053" max="2053" width="127" hidden="1"/>
    <col min="2054" max="2304" width="9.140625" hidden="1"/>
    <col min="2305" max="2305" width="22.140625" hidden="1"/>
    <col min="2306" max="2306" width="1.85546875" hidden="1"/>
    <col min="2307" max="2307" width="9.140625" hidden="1"/>
    <col min="2308" max="2308" width="3.28515625" hidden="1"/>
    <col min="2309" max="2309" width="127" hidden="1"/>
    <col min="2310" max="2560" width="9.140625" hidden="1"/>
    <col min="2561" max="2561" width="22.140625" hidden="1"/>
    <col min="2562" max="2562" width="1.85546875" hidden="1"/>
    <col min="2563" max="2563" width="9.140625" hidden="1"/>
    <col min="2564" max="2564" width="3.28515625" hidden="1"/>
    <col min="2565" max="2565" width="127" hidden="1"/>
    <col min="2566" max="2816" width="9.140625" hidden="1"/>
    <col min="2817" max="2817" width="22.140625" hidden="1"/>
    <col min="2818" max="2818" width="1.85546875" hidden="1"/>
    <col min="2819" max="2819" width="9.140625" hidden="1"/>
    <col min="2820" max="2820" width="3.28515625" hidden="1"/>
    <col min="2821" max="2821" width="127" hidden="1"/>
    <col min="2822" max="3072" width="9.140625" hidden="1"/>
    <col min="3073" max="3073" width="22.140625" hidden="1"/>
    <col min="3074" max="3074" width="1.85546875" hidden="1"/>
    <col min="3075" max="3075" width="9.140625" hidden="1"/>
    <col min="3076" max="3076" width="3.28515625" hidden="1"/>
    <col min="3077" max="3077" width="127" hidden="1"/>
    <col min="3078" max="3328" width="9.140625" hidden="1"/>
    <col min="3329" max="3329" width="22.140625" hidden="1"/>
    <col min="3330" max="3330" width="1.85546875" hidden="1"/>
    <col min="3331" max="3331" width="9.140625" hidden="1"/>
    <col min="3332" max="3332" width="3.28515625" hidden="1"/>
    <col min="3333" max="3333" width="127" hidden="1"/>
    <col min="3334" max="3584" width="9.140625" hidden="1"/>
    <col min="3585" max="3585" width="22.140625" hidden="1"/>
    <col min="3586" max="3586" width="1.85546875" hidden="1"/>
    <col min="3587" max="3587" width="9.140625" hidden="1"/>
    <col min="3588" max="3588" width="3.28515625" hidden="1"/>
    <col min="3589" max="3589" width="127" hidden="1"/>
    <col min="3590" max="3840" width="9.140625" hidden="1"/>
    <col min="3841" max="3841" width="22.140625" hidden="1"/>
    <col min="3842" max="3842" width="1.85546875" hidden="1"/>
    <col min="3843" max="3843" width="9.140625" hidden="1"/>
    <col min="3844" max="3844" width="3.28515625" hidden="1"/>
    <col min="3845" max="3845" width="127" hidden="1"/>
    <col min="3846" max="4096" width="9.140625" hidden="1"/>
    <col min="4097" max="4097" width="22.140625" hidden="1"/>
    <col min="4098" max="4098" width="1.85546875" hidden="1"/>
    <col min="4099" max="4099" width="9.140625" hidden="1"/>
    <col min="4100" max="4100" width="3.28515625" hidden="1"/>
    <col min="4101" max="4101" width="127" hidden="1"/>
    <col min="4102" max="4352" width="9.140625" hidden="1"/>
    <col min="4353" max="4353" width="22.140625" hidden="1"/>
    <col min="4354" max="4354" width="1.85546875" hidden="1"/>
    <col min="4355" max="4355" width="9.140625" hidden="1"/>
    <col min="4356" max="4356" width="3.28515625" hidden="1"/>
    <col min="4357" max="4357" width="127" hidden="1"/>
    <col min="4358" max="4608" width="9.140625" hidden="1"/>
    <col min="4609" max="4609" width="22.140625" hidden="1"/>
    <col min="4610" max="4610" width="1.85546875" hidden="1"/>
    <col min="4611" max="4611" width="9.140625" hidden="1"/>
    <col min="4612" max="4612" width="3.28515625" hidden="1"/>
    <col min="4613" max="4613" width="127" hidden="1"/>
    <col min="4614" max="4864" width="9.140625" hidden="1"/>
    <col min="4865" max="4865" width="22.140625" hidden="1"/>
    <col min="4866" max="4866" width="1.85546875" hidden="1"/>
    <col min="4867" max="4867" width="9.140625" hidden="1"/>
    <col min="4868" max="4868" width="3.28515625" hidden="1"/>
    <col min="4869" max="4869" width="127" hidden="1"/>
    <col min="4870" max="5120" width="9.140625" hidden="1"/>
    <col min="5121" max="5121" width="22.140625" hidden="1"/>
    <col min="5122" max="5122" width="1.85546875" hidden="1"/>
    <col min="5123" max="5123" width="9.140625" hidden="1"/>
    <col min="5124" max="5124" width="3.28515625" hidden="1"/>
    <col min="5125" max="5125" width="127" hidden="1"/>
    <col min="5126" max="5376" width="9.140625" hidden="1"/>
    <col min="5377" max="5377" width="22.140625" hidden="1"/>
    <col min="5378" max="5378" width="1.85546875" hidden="1"/>
    <col min="5379" max="5379" width="9.140625" hidden="1"/>
    <col min="5380" max="5380" width="3.28515625" hidden="1"/>
    <col min="5381" max="5381" width="127" hidden="1"/>
    <col min="5382" max="5632" width="9.140625" hidden="1"/>
    <col min="5633" max="5633" width="22.140625" hidden="1"/>
    <col min="5634" max="5634" width="1.85546875" hidden="1"/>
    <col min="5635" max="5635" width="9.140625" hidden="1"/>
    <col min="5636" max="5636" width="3.28515625" hidden="1"/>
    <col min="5637" max="5637" width="127" hidden="1"/>
    <col min="5638" max="5888" width="9.140625" hidden="1"/>
    <col min="5889" max="5889" width="22.140625" hidden="1"/>
    <col min="5890" max="5890" width="1.85546875" hidden="1"/>
    <col min="5891" max="5891" width="9.140625" hidden="1"/>
    <col min="5892" max="5892" width="3.28515625" hidden="1"/>
    <col min="5893" max="5893" width="127" hidden="1"/>
    <col min="5894" max="6144" width="9.140625" hidden="1"/>
    <col min="6145" max="6145" width="22.140625" hidden="1"/>
    <col min="6146" max="6146" width="1.85546875" hidden="1"/>
    <col min="6147" max="6147" width="9.140625" hidden="1"/>
    <col min="6148" max="6148" width="3.28515625" hidden="1"/>
    <col min="6149" max="6149" width="127" hidden="1"/>
    <col min="6150" max="6400" width="9.140625" hidden="1"/>
    <col min="6401" max="6401" width="22.140625" hidden="1"/>
    <col min="6402" max="6402" width="1.85546875" hidden="1"/>
    <col min="6403" max="6403" width="9.140625" hidden="1"/>
    <col min="6404" max="6404" width="3.28515625" hidden="1"/>
    <col min="6405" max="6405" width="127" hidden="1"/>
    <col min="6406" max="6656" width="9.140625" hidden="1"/>
    <col min="6657" max="6657" width="22.140625" hidden="1"/>
    <col min="6658" max="6658" width="1.85546875" hidden="1"/>
    <col min="6659" max="6659" width="9.140625" hidden="1"/>
    <col min="6660" max="6660" width="3.28515625" hidden="1"/>
    <col min="6661" max="6661" width="127" hidden="1"/>
    <col min="6662" max="6912" width="9.140625" hidden="1"/>
    <col min="6913" max="6913" width="22.140625" hidden="1"/>
    <col min="6914" max="6914" width="1.85546875" hidden="1"/>
    <col min="6915" max="6915" width="9.140625" hidden="1"/>
    <col min="6916" max="6916" width="3.28515625" hidden="1"/>
    <col min="6917" max="6917" width="127" hidden="1"/>
    <col min="6918" max="7168" width="9.140625" hidden="1"/>
    <col min="7169" max="7169" width="22.140625" hidden="1"/>
    <col min="7170" max="7170" width="1.85546875" hidden="1"/>
    <col min="7171" max="7171" width="9.140625" hidden="1"/>
    <col min="7172" max="7172" width="3.28515625" hidden="1"/>
    <col min="7173" max="7173" width="127" hidden="1"/>
    <col min="7174" max="7424" width="9.140625" hidden="1"/>
    <col min="7425" max="7425" width="22.140625" hidden="1"/>
    <col min="7426" max="7426" width="1.85546875" hidden="1"/>
    <col min="7427" max="7427" width="9.140625" hidden="1"/>
    <col min="7428" max="7428" width="3.28515625" hidden="1"/>
    <col min="7429" max="7429" width="127" hidden="1"/>
    <col min="7430" max="7680" width="9.140625" hidden="1"/>
    <col min="7681" max="7681" width="22.140625" hidden="1"/>
    <col min="7682" max="7682" width="1.85546875" hidden="1"/>
    <col min="7683" max="7683" width="9.140625" hidden="1"/>
    <col min="7684" max="7684" width="3.28515625" hidden="1"/>
    <col min="7685" max="7685" width="127" hidden="1"/>
    <col min="7686" max="7936" width="9.140625" hidden="1"/>
    <col min="7937" max="7937" width="22.140625" hidden="1"/>
    <col min="7938" max="7938" width="1.85546875" hidden="1"/>
    <col min="7939" max="7939" width="9.140625" hidden="1"/>
    <col min="7940" max="7940" width="3.28515625" hidden="1"/>
    <col min="7941" max="7941" width="127" hidden="1"/>
    <col min="7942" max="8192" width="9.140625" hidden="1"/>
    <col min="8193" max="8193" width="22.140625" hidden="1"/>
    <col min="8194" max="8194" width="1.85546875" hidden="1"/>
    <col min="8195" max="8195" width="9.140625" hidden="1"/>
    <col min="8196" max="8196" width="3.28515625" hidden="1"/>
    <col min="8197" max="8197" width="127" hidden="1"/>
    <col min="8198" max="8448" width="9.140625" hidden="1"/>
    <col min="8449" max="8449" width="22.140625" hidden="1"/>
    <col min="8450" max="8450" width="1.85546875" hidden="1"/>
    <col min="8451" max="8451" width="9.140625" hidden="1"/>
    <col min="8452" max="8452" width="3.28515625" hidden="1"/>
    <col min="8453" max="8453" width="127" hidden="1"/>
    <col min="8454" max="8704" width="9.140625" hidden="1"/>
    <col min="8705" max="8705" width="22.140625" hidden="1"/>
    <col min="8706" max="8706" width="1.85546875" hidden="1"/>
    <col min="8707" max="8707" width="9.140625" hidden="1"/>
    <col min="8708" max="8708" width="3.28515625" hidden="1"/>
    <col min="8709" max="8709" width="127" hidden="1"/>
    <col min="8710" max="8960" width="9.140625" hidden="1"/>
    <col min="8961" max="8961" width="22.140625" hidden="1"/>
    <col min="8962" max="8962" width="1.85546875" hidden="1"/>
    <col min="8963" max="8963" width="9.140625" hidden="1"/>
    <col min="8964" max="8964" width="3.28515625" hidden="1"/>
    <col min="8965" max="8965" width="127" hidden="1"/>
    <col min="8966" max="9216" width="9.140625" hidden="1"/>
    <col min="9217" max="9217" width="22.140625" hidden="1"/>
    <col min="9218" max="9218" width="1.85546875" hidden="1"/>
    <col min="9219" max="9219" width="9.140625" hidden="1"/>
    <col min="9220" max="9220" width="3.28515625" hidden="1"/>
    <col min="9221" max="9221" width="127" hidden="1"/>
    <col min="9222" max="9472" width="9.140625" hidden="1"/>
    <col min="9473" max="9473" width="22.140625" hidden="1"/>
    <col min="9474" max="9474" width="1.85546875" hidden="1"/>
    <col min="9475" max="9475" width="9.140625" hidden="1"/>
    <col min="9476" max="9476" width="3.28515625" hidden="1"/>
    <col min="9477" max="9477" width="127" hidden="1"/>
    <col min="9478" max="9728" width="9.140625" hidden="1"/>
    <col min="9729" max="9729" width="22.140625" hidden="1"/>
    <col min="9730" max="9730" width="1.85546875" hidden="1"/>
    <col min="9731" max="9731" width="9.140625" hidden="1"/>
    <col min="9732" max="9732" width="3.28515625" hidden="1"/>
    <col min="9733" max="9733" width="127" hidden="1"/>
    <col min="9734" max="9984" width="9.140625" hidden="1"/>
    <col min="9985" max="9985" width="22.140625" hidden="1"/>
    <col min="9986" max="9986" width="1.85546875" hidden="1"/>
    <col min="9987" max="9987" width="9.140625" hidden="1"/>
    <col min="9988" max="9988" width="3.28515625" hidden="1"/>
    <col min="9989" max="9989" width="127" hidden="1"/>
    <col min="9990" max="10240" width="9.140625" hidden="1"/>
    <col min="10241" max="10241" width="22.140625" hidden="1"/>
    <col min="10242" max="10242" width="1.85546875" hidden="1"/>
    <col min="10243" max="10243" width="9.140625" hidden="1"/>
    <col min="10244" max="10244" width="3.28515625" hidden="1"/>
    <col min="10245" max="10245" width="127" hidden="1"/>
    <col min="10246" max="10496" width="9.140625" hidden="1"/>
    <col min="10497" max="10497" width="22.140625" hidden="1"/>
    <col min="10498" max="10498" width="1.85546875" hidden="1"/>
    <col min="10499" max="10499" width="9.140625" hidden="1"/>
    <col min="10500" max="10500" width="3.28515625" hidden="1"/>
    <col min="10501" max="10501" width="127" hidden="1"/>
    <col min="10502" max="10752" width="9.140625" hidden="1"/>
    <col min="10753" max="10753" width="22.140625" hidden="1"/>
    <col min="10754" max="10754" width="1.85546875" hidden="1"/>
    <col min="10755" max="10755" width="9.140625" hidden="1"/>
    <col min="10756" max="10756" width="3.28515625" hidden="1"/>
    <col min="10757" max="10757" width="127" hidden="1"/>
    <col min="10758" max="11008" width="9.140625" hidden="1"/>
    <col min="11009" max="11009" width="22.140625" hidden="1"/>
    <col min="11010" max="11010" width="1.85546875" hidden="1"/>
    <col min="11011" max="11011" width="9.140625" hidden="1"/>
    <col min="11012" max="11012" width="3.28515625" hidden="1"/>
    <col min="11013" max="11013" width="127" hidden="1"/>
    <col min="11014" max="11264" width="9.140625" hidden="1"/>
    <col min="11265" max="11265" width="22.140625" hidden="1"/>
    <col min="11266" max="11266" width="1.85546875" hidden="1"/>
    <col min="11267" max="11267" width="9.140625" hidden="1"/>
    <col min="11268" max="11268" width="3.28515625" hidden="1"/>
    <col min="11269" max="11269" width="127" hidden="1"/>
    <col min="11270" max="11520" width="9.140625" hidden="1"/>
    <col min="11521" max="11521" width="22.140625" hidden="1"/>
    <col min="11522" max="11522" width="1.85546875" hidden="1"/>
    <col min="11523" max="11523" width="9.140625" hidden="1"/>
    <col min="11524" max="11524" width="3.28515625" hidden="1"/>
    <col min="11525" max="11525" width="127" hidden="1"/>
    <col min="11526" max="11776" width="9.140625" hidden="1"/>
    <col min="11777" max="11777" width="22.140625" hidden="1"/>
    <col min="11778" max="11778" width="1.85546875" hidden="1"/>
    <col min="11779" max="11779" width="9.140625" hidden="1"/>
    <col min="11780" max="11780" width="3.28515625" hidden="1"/>
    <col min="11781" max="11781" width="127" hidden="1"/>
    <col min="11782" max="12032" width="9.140625" hidden="1"/>
    <col min="12033" max="12033" width="22.140625" hidden="1"/>
    <col min="12034" max="12034" width="1.85546875" hidden="1"/>
    <col min="12035" max="12035" width="9.140625" hidden="1"/>
    <col min="12036" max="12036" width="3.28515625" hidden="1"/>
    <col min="12037" max="12037" width="127" hidden="1"/>
    <col min="12038" max="12288" width="9.140625" hidden="1"/>
    <col min="12289" max="12289" width="22.140625" hidden="1"/>
    <col min="12290" max="12290" width="1.85546875" hidden="1"/>
    <col min="12291" max="12291" width="9.140625" hidden="1"/>
    <col min="12292" max="12292" width="3.28515625" hidden="1"/>
    <col min="12293" max="12293" width="127" hidden="1"/>
    <col min="12294" max="12544" width="9.140625" hidden="1"/>
    <col min="12545" max="12545" width="22.140625" hidden="1"/>
    <col min="12546" max="12546" width="1.85546875" hidden="1"/>
    <col min="12547" max="12547" width="9.140625" hidden="1"/>
    <col min="12548" max="12548" width="3.28515625" hidden="1"/>
    <col min="12549" max="12549" width="127" hidden="1"/>
    <col min="12550" max="12800" width="9.140625" hidden="1"/>
    <col min="12801" max="12801" width="22.140625" hidden="1"/>
    <col min="12802" max="12802" width="1.85546875" hidden="1"/>
    <col min="12803" max="12803" width="9.140625" hidden="1"/>
    <col min="12804" max="12804" width="3.28515625" hidden="1"/>
    <col min="12805" max="12805" width="127" hidden="1"/>
    <col min="12806" max="13056" width="9.140625" hidden="1"/>
    <col min="13057" max="13057" width="22.140625" hidden="1"/>
    <col min="13058" max="13058" width="1.85546875" hidden="1"/>
    <col min="13059" max="13059" width="9.140625" hidden="1"/>
    <col min="13060" max="13060" width="3.28515625" hidden="1"/>
    <col min="13061" max="13061" width="127" hidden="1"/>
    <col min="13062" max="13312" width="9.140625" hidden="1"/>
    <col min="13313" max="13313" width="22.140625" hidden="1"/>
    <col min="13314" max="13314" width="1.85546875" hidden="1"/>
    <col min="13315" max="13315" width="9.140625" hidden="1"/>
    <col min="13316" max="13316" width="3.28515625" hidden="1"/>
    <col min="13317" max="13317" width="127" hidden="1"/>
    <col min="13318" max="13568" width="9.140625" hidden="1"/>
    <col min="13569" max="13569" width="22.140625" hidden="1"/>
    <col min="13570" max="13570" width="1.85546875" hidden="1"/>
    <col min="13571" max="13571" width="9.140625" hidden="1"/>
    <col min="13572" max="13572" width="3.28515625" hidden="1"/>
    <col min="13573" max="13573" width="127" hidden="1"/>
    <col min="13574" max="13824" width="9.140625" hidden="1"/>
    <col min="13825" max="13825" width="22.140625" hidden="1"/>
    <col min="13826" max="13826" width="1.85546875" hidden="1"/>
    <col min="13827" max="13827" width="9.140625" hidden="1"/>
    <col min="13828" max="13828" width="3.28515625" hidden="1"/>
    <col min="13829" max="13829" width="127" hidden="1"/>
    <col min="13830" max="14080" width="9.140625" hidden="1"/>
    <col min="14081" max="14081" width="22.140625" hidden="1"/>
    <col min="14082" max="14082" width="1.85546875" hidden="1"/>
    <col min="14083" max="14083" width="9.140625" hidden="1"/>
    <col min="14084" max="14084" width="3.28515625" hidden="1"/>
    <col min="14085" max="14085" width="127" hidden="1"/>
    <col min="14086" max="14336" width="9.140625" hidden="1"/>
    <col min="14337" max="14337" width="22.140625" hidden="1"/>
    <col min="14338" max="14338" width="1.85546875" hidden="1"/>
    <col min="14339" max="14339" width="9.140625" hidden="1"/>
    <col min="14340" max="14340" width="3.28515625" hidden="1"/>
    <col min="14341" max="14341" width="127" hidden="1"/>
    <col min="14342" max="14592" width="9.140625" hidden="1"/>
    <col min="14593" max="14593" width="22.140625" hidden="1"/>
    <col min="14594" max="14594" width="1.85546875" hidden="1"/>
    <col min="14595" max="14595" width="9.140625" hidden="1"/>
    <col min="14596" max="14596" width="3.28515625" hidden="1"/>
    <col min="14597" max="14597" width="127" hidden="1"/>
    <col min="14598" max="14848" width="9.140625" hidden="1"/>
    <col min="14849" max="14849" width="22.140625" hidden="1"/>
    <col min="14850" max="14850" width="1.85546875" hidden="1"/>
    <col min="14851" max="14851" width="9.140625" hidden="1"/>
    <col min="14852" max="14852" width="3.28515625" hidden="1"/>
    <col min="14853" max="14853" width="127" hidden="1"/>
    <col min="14854" max="15104" width="9.140625" hidden="1"/>
    <col min="15105" max="15105" width="22.140625" hidden="1"/>
    <col min="15106" max="15106" width="1.85546875" hidden="1"/>
    <col min="15107" max="15107" width="9.140625" hidden="1"/>
    <col min="15108" max="15108" width="3.28515625" hidden="1"/>
    <col min="15109" max="15109" width="127" hidden="1"/>
    <col min="15110" max="15360" width="9.140625" hidden="1"/>
    <col min="15361" max="15361" width="22.140625" hidden="1"/>
    <col min="15362" max="15362" width="1.85546875" hidden="1"/>
    <col min="15363" max="15363" width="9.140625" hidden="1"/>
    <col min="15364" max="15364" width="3.28515625" hidden="1"/>
    <col min="15365" max="15365" width="127" hidden="1"/>
    <col min="15366" max="15616" width="9.140625" hidden="1"/>
    <col min="15617" max="15617" width="22.140625" hidden="1"/>
    <col min="15618" max="15618" width="1.85546875" hidden="1"/>
    <col min="15619" max="15619" width="9.140625" hidden="1"/>
    <col min="15620" max="15620" width="3.28515625" hidden="1"/>
    <col min="15621" max="15621" width="127" hidden="1"/>
    <col min="15622" max="15872" width="9.140625" hidden="1"/>
    <col min="15873" max="15873" width="22.140625" hidden="1"/>
    <col min="15874" max="15874" width="1.85546875" hidden="1"/>
    <col min="15875" max="15875" width="9.140625" hidden="1"/>
    <col min="15876" max="15876" width="3.28515625" hidden="1"/>
    <col min="15877" max="15877" width="127" hidden="1"/>
    <col min="15878" max="16128" width="9.140625" hidden="1"/>
    <col min="16129" max="16129" width="22.140625" hidden="1"/>
    <col min="16130" max="16130" width="1.85546875" hidden="1"/>
    <col min="16131" max="16131" width="9.140625" hidden="1"/>
    <col min="16132" max="16132" width="3.28515625" hidden="1"/>
    <col min="16133" max="16133" width="127" hidden="1"/>
    <col min="16134" max="16384" width="9.140625" hidden="1"/>
  </cols>
  <sheetData>
    <row r="1" spans="1:20" s="7" customFormat="1" ht="14.25" customHeight="1" x14ac:dyDescent="0.2">
      <c r="A1" s="1" t="s">
        <v>0</v>
      </c>
    </row>
    <row r="2" spans="1:20" s="7" customFormat="1" ht="14.25" customHeight="1" thickBot="1" x14ac:dyDescent="0.25">
      <c r="A2" s="1" t="s">
        <v>1</v>
      </c>
    </row>
    <row r="3" spans="1:20" s="7" customFormat="1" ht="14.25" customHeight="1" thickBot="1" x14ac:dyDescent="0.25">
      <c r="A3" s="503"/>
      <c r="C3" s="46">
        <v>25</v>
      </c>
      <c r="D3" s="47" t="s">
        <v>2</v>
      </c>
      <c r="E3" s="48" t="s">
        <v>185</v>
      </c>
      <c r="F3" s="49"/>
      <c r="G3" s="49"/>
      <c r="H3" s="49"/>
      <c r="I3" s="49"/>
      <c r="J3" s="49"/>
      <c r="K3" s="49"/>
      <c r="L3" s="49"/>
      <c r="M3" s="49"/>
      <c r="N3" s="49"/>
      <c r="O3" s="49"/>
      <c r="P3" s="49"/>
      <c r="Q3" s="49"/>
      <c r="R3" s="49"/>
      <c r="S3" s="49"/>
      <c r="T3" s="49"/>
    </row>
    <row r="4" spans="1:20" s="7" customFormat="1" ht="14.25" customHeight="1" x14ac:dyDescent="0.2">
      <c r="A4" s="503"/>
      <c r="C4" s="91"/>
      <c r="D4" s="47"/>
      <c r="E4" s="50" t="s">
        <v>251</v>
      </c>
      <c r="F4" s="49"/>
      <c r="G4" s="49"/>
      <c r="H4" s="49"/>
      <c r="I4" s="49"/>
      <c r="J4" s="49"/>
      <c r="K4" s="49"/>
      <c r="L4" s="49"/>
      <c r="M4" s="49"/>
      <c r="N4" s="49"/>
      <c r="O4" s="49"/>
      <c r="P4" s="49"/>
      <c r="Q4" s="49"/>
      <c r="R4" s="49"/>
      <c r="S4" s="49"/>
      <c r="T4" s="49"/>
    </row>
    <row r="5" spans="1:20" s="7" customFormat="1" ht="14.25" customHeight="1" x14ac:dyDescent="0.2">
      <c r="A5" s="504"/>
      <c r="E5" s="7" t="s">
        <v>252</v>
      </c>
      <c r="F5" s="49"/>
      <c r="G5" s="49"/>
      <c r="H5" s="49"/>
      <c r="I5" s="49"/>
      <c r="J5" s="49"/>
      <c r="K5" s="49"/>
      <c r="L5" s="49"/>
      <c r="M5" s="49"/>
      <c r="N5" s="49"/>
      <c r="O5" s="49"/>
      <c r="P5" s="49"/>
      <c r="Q5" s="49"/>
      <c r="R5" s="49"/>
      <c r="S5" s="49"/>
      <c r="T5" s="49"/>
    </row>
    <row r="6" spans="1:20" s="7" customFormat="1" ht="14.25" customHeight="1" x14ac:dyDescent="0.2">
      <c r="A6" s="241"/>
      <c r="E6" s="49" t="s">
        <v>255</v>
      </c>
      <c r="F6" s="49"/>
      <c r="G6" s="49"/>
      <c r="H6" s="49"/>
      <c r="I6" s="49"/>
      <c r="J6" s="49"/>
      <c r="K6" s="49"/>
      <c r="L6" s="49"/>
      <c r="M6" s="49"/>
      <c r="N6" s="49"/>
      <c r="O6" s="49"/>
      <c r="P6" s="49"/>
      <c r="Q6" s="49"/>
      <c r="R6" s="49"/>
      <c r="S6" s="49"/>
      <c r="T6" s="49"/>
    </row>
    <row r="7" spans="1:20" s="7" customFormat="1" ht="14.25" customHeight="1" x14ac:dyDescent="0.2">
      <c r="A7" s="236"/>
      <c r="E7" s="48" t="s">
        <v>253</v>
      </c>
      <c r="F7" s="49"/>
      <c r="G7" s="49"/>
      <c r="H7" s="49"/>
      <c r="I7" s="49"/>
      <c r="J7" s="49"/>
      <c r="K7" s="49"/>
      <c r="L7" s="49"/>
      <c r="M7" s="49"/>
      <c r="N7" s="49"/>
      <c r="O7" s="49"/>
      <c r="P7" s="49"/>
      <c r="Q7" s="49"/>
      <c r="R7" s="49"/>
      <c r="S7" s="49"/>
      <c r="T7" s="49"/>
    </row>
    <row r="8" spans="1:20" s="7" customFormat="1" ht="14.25" customHeight="1" x14ac:dyDescent="0.2">
      <c r="A8" s="236" t="s">
        <v>3</v>
      </c>
      <c r="E8" s="49"/>
      <c r="F8" s="49"/>
      <c r="G8" s="49"/>
      <c r="H8" s="49"/>
      <c r="I8" s="49"/>
      <c r="J8" s="49"/>
      <c r="K8" s="49"/>
      <c r="L8" s="49"/>
      <c r="M8" s="49"/>
      <c r="N8" s="49"/>
      <c r="O8" s="49"/>
      <c r="P8" s="49"/>
      <c r="Q8" s="49"/>
      <c r="R8" s="49"/>
      <c r="S8" s="49"/>
      <c r="T8" s="49"/>
    </row>
    <row r="9" spans="1:20" s="7" customFormat="1" ht="14.25" customHeight="1" x14ac:dyDescent="0.2">
      <c r="A9" s="237"/>
      <c r="C9" s="51"/>
      <c r="D9" s="33"/>
      <c r="E9" s="48"/>
      <c r="F9" s="49"/>
      <c r="G9" s="49"/>
      <c r="H9" s="49"/>
      <c r="I9" s="49"/>
      <c r="J9" s="49"/>
      <c r="K9" s="49"/>
      <c r="L9" s="49"/>
      <c r="M9" s="49"/>
      <c r="N9" s="49"/>
      <c r="O9" s="49"/>
      <c r="P9" s="49"/>
      <c r="Q9" s="49"/>
      <c r="R9" s="49"/>
      <c r="S9" s="49"/>
      <c r="T9" s="49"/>
    </row>
    <row r="10" spans="1:20" s="7" customFormat="1" ht="14.25" customHeight="1" x14ac:dyDescent="0.2">
      <c r="A10" s="236" t="s">
        <v>5</v>
      </c>
      <c r="D10" s="33"/>
      <c r="E10" s="49"/>
      <c r="F10" s="49"/>
      <c r="G10" s="49"/>
      <c r="H10" s="49"/>
      <c r="I10" s="49"/>
      <c r="J10" s="49"/>
      <c r="K10" s="49"/>
      <c r="L10" s="49"/>
      <c r="M10" s="49"/>
      <c r="N10" s="49"/>
      <c r="O10" s="49"/>
      <c r="P10" s="49"/>
      <c r="Q10" s="49"/>
      <c r="R10" s="49"/>
      <c r="S10" s="49"/>
      <c r="T10" s="49"/>
    </row>
    <row r="11" spans="1:20" s="7" customFormat="1" ht="14.25" customHeight="1" x14ac:dyDescent="0.2">
      <c r="A11" s="238"/>
      <c r="C11" s="52">
        <v>25</v>
      </c>
      <c r="E11" s="49"/>
      <c r="F11" s="49"/>
      <c r="G11" s="49"/>
      <c r="H11" s="49"/>
      <c r="I11" s="49"/>
      <c r="J11" s="49"/>
      <c r="K11" s="49"/>
      <c r="L11" s="49"/>
      <c r="M11" s="49"/>
      <c r="N11" s="49"/>
      <c r="O11" s="49"/>
      <c r="P11" s="49"/>
      <c r="Q11" s="49"/>
      <c r="R11" s="49"/>
      <c r="S11" s="49"/>
      <c r="T11" s="49"/>
    </row>
    <row r="12" spans="1:20" s="7" customFormat="1" ht="14.25" customHeight="1" x14ac:dyDescent="0.2">
      <c r="A12" s="241"/>
      <c r="D12" s="33" t="s">
        <v>4</v>
      </c>
      <c r="E12" s="48" t="s">
        <v>186</v>
      </c>
      <c r="F12" s="49"/>
      <c r="G12" s="49"/>
      <c r="H12" s="49"/>
      <c r="I12" s="49"/>
      <c r="J12" s="49"/>
      <c r="K12" s="49"/>
      <c r="L12" s="49"/>
      <c r="M12" s="49"/>
      <c r="N12" s="49"/>
      <c r="O12" s="49"/>
      <c r="P12" s="49"/>
      <c r="Q12" s="49"/>
      <c r="R12" s="49"/>
      <c r="S12" s="49"/>
      <c r="T12" s="49"/>
    </row>
    <row r="13" spans="1:20" s="7" customFormat="1" ht="14.25" customHeight="1" x14ac:dyDescent="0.2">
      <c r="A13" s="504"/>
      <c r="E13" s="7" t="s">
        <v>254</v>
      </c>
      <c r="F13" s="49"/>
      <c r="G13" s="49"/>
      <c r="H13" s="49"/>
      <c r="I13" s="49"/>
      <c r="J13" s="49"/>
      <c r="K13" s="49"/>
      <c r="L13" s="49"/>
      <c r="M13" s="49"/>
      <c r="N13" s="49"/>
      <c r="O13" s="49"/>
      <c r="P13" s="49"/>
      <c r="Q13" s="49"/>
      <c r="R13" s="49"/>
      <c r="S13" s="49"/>
      <c r="T13" s="49"/>
    </row>
    <row r="14" spans="1:20" s="7" customFormat="1" ht="14.25" customHeight="1" x14ac:dyDescent="0.2">
      <c r="A14" s="503"/>
      <c r="E14" s="49" t="s">
        <v>256</v>
      </c>
      <c r="F14" s="49"/>
      <c r="G14" s="49"/>
      <c r="H14" s="49"/>
      <c r="I14" s="49"/>
      <c r="J14" s="49"/>
      <c r="K14" s="49"/>
      <c r="L14" s="49"/>
      <c r="M14" s="49"/>
      <c r="N14" s="49"/>
      <c r="O14" s="49"/>
      <c r="P14" s="49"/>
      <c r="Q14" s="49"/>
      <c r="R14" s="49"/>
      <c r="S14" s="49"/>
      <c r="T14" s="49"/>
    </row>
    <row r="15" spans="1:20" s="7" customFormat="1" ht="14.25" customHeight="1" x14ac:dyDescent="0.2">
      <c r="A15" s="504"/>
      <c r="E15" s="48" t="s">
        <v>257</v>
      </c>
      <c r="F15" s="49"/>
      <c r="G15" s="49"/>
      <c r="H15" s="49"/>
      <c r="I15" s="49"/>
      <c r="J15" s="49"/>
      <c r="K15" s="49"/>
      <c r="L15" s="49"/>
      <c r="M15" s="49"/>
      <c r="N15" s="49"/>
      <c r="O15" s="49"/>
      <c r="P15" s="49"/>
      <c r="Q15" s="49"/>
      <c r="R15" s="49"/>
      <c r="S15" s="49"/>
      <c r="T15" s="49"/>
    </row>
    <row r="16" spans="1:20" s="7" customFormat="1" ht="14.25" customHeight="1" x14ac:dyDescent="0.2">
      <c r="A16" s="504"/>
      <c r="C16" s="1"/>
      <c r="E16" s="49"/>
      <c r="F16" s="49"/>
      <c r="G16" s="49"/>
      <c r="H16" s="49"/>
      <c r="I16" s="49"/>
      <c r="J16" s="49"/>
      <c r="K16" s="49"/>
      <c r="L16" s="49"/>
      <c r="M16" s="49"/>
      <c r="N16" s="49"/>
      <c r="O16" s="49"/>
      <c r="P16" s="49"/>
      <c r="Q16" s="49"/>
      <c r="R16" s="49"/>
      <c r="S16" s="49"/>
      <c r="T16" s="49"/>
    </row>
    <row r="17" spans="1:20" s="7" customFormat="1" ht="15" customHeight="1" x14ac:dyDescent="0.2">
      <c r="A17" s="504"/>
      <c r="E17" s="49"/>
      <c r="F17" s="49"/>
      <c r="G17" s="49"/>
      <c r="H17" s="49"/>
      <c r="I17" s="49"/>
      <c r="J17" s="49"/>
      <c r="K17" s="49"/>
      <c r="L17" s="49"/>
      <c r="M17" s="49"/>
      <c r="N17" s="49"/>
      <c r="O17" s="49"/>
      <c r="P17" s="49"/>
      <c r="Q17" s="49"/>
      <c r="R17" s="49"/>
      <c r="S17" s="49"/>
      <c r="T17" s="49"/>
    </row>
    <row r="18" spans="1:20" s="7" customFormat="1" ht="15" customHeight="1" x14ac:dyDescent="0.2">
      <c r="A18" s="504"/>
    </row>
    <row r="19" spans="1:20" s="7" customFormat="1" ht="15" customHeight="1" x14ac:dyDescent="0.2">
      <c r="A19" s="504"/>
    </row>
    <row r="20" spans="1:20" s="7" customFormat="1" ht="12.75" x14ac:dyDescent="0.2">
      <c r="A20" s="504"/>
    </row>
    <row r="21" spans="1:20" s="7" customFormat="1" ht="12.75" x14ac:dyDescent="0.2">
      <c r="A21" s="504"/>
    </row>
    <row r="22" spans="1:20" s="7" customFormat="1" ht="12.75" x14ac:dyDescent="0.2">
      <c r="A22" s="504"/>
    </row>
    <row r="23" spans="1:20" s="7" customFormat="1" ht="12.75" x14ac:dyDescent="0.2">
      <c r="A23" s="504"/>
    </row>
    <row r="24" spans="1:20" s="7" customFormat="1" ht="12.75" x14ac:dyDescent="0.2">
      <c r="A24" s="504"/>
    </row>
    <row r="25" spans="1:20" s="7" customFormat="1" ht="12.75" x14ac:dyDescent="0.2">
      <c r="A25" s="504"/>
    </row>
    <row r="26" spans="1:20" s="7" customFormat="1" ht="12.75" x14ac:dyDescent="0.2">
      <c r="A26" s="504"/>
    </row>
    <row r="27" spans="1:20" s="7" customFormat="1" ht="12.75" x14ac:dyDescent="0.2">
      <c r="A27" s="504"/>
    </row>
    <row r="28" spans="1:20" s="7" customFormat="1" ht="12.75" x14ac:dyDescent="0.2">
      <c r="A28" s="504"/>
    </row>
    <row r="29" spans="1:20" s="7" customFormat="1" ht="12.75" x14ac:dyDescent="0.2">
      <c r="A29" s="504"/>
    </row>
    <row r="30" spans="1:20" s="7" customFormat="1" ht="12.75" x14ac:dyDescent="0.2">
      <c r="A30" s="504"/>
    </row>
    <row r="31" spans="1:20" s="7" customFormat="1" ht="12.75" x14ac:dyDescent="0.2">
      <c r="A31" s="504"/>
    </row>
    <row r="32" spans="1:20" s="7" customFormat="1" ht="12.75" x14ac:dyDescent="0.2">
      <c r="A32" s="504"/>
    </row>
    <row r="33" spans="1:1" s="7" customFormat="1" ht="12.75" x14ac:dyDescent="0.2">
      <c r="A33" s="504"/>
    </row>
    <row r="34" spans="1:1" s="7" customFormat="1" ht="12.75" x14ac:dyDescent="0.2">
      <c r="A34" s="504"/>
    </row>
    <row r="35" spans="1:1" s="7" customFormat="1" ht="12.75" x14ac:dyDescent="0.2">
      <c r="A35" s="504"/>
    </row>
    <row r="36" spans="1:1" s="7" customFormat="1" ht="12.75" x14ac:dyDescent="0.2">
      <c r="A36" s="504"/>
    </row>
    <row r="37" spans="1:1" s="7" customFormat="1" ht="12.75" x14ac:dyDescent="0.2">
      <c r="A37" s="504"/>
    </row>
    <row r="38" spans="1:1" s="7" customFormat="1" ht="12.75" x14ac:dyDescent="0.2">
      <c r="A38" s="504"/>
    </row>
    <row r="39" spans="1:1" s="7" customFormat="1" ht="12.75" x14ac:dyDescent="0.2">
      <c r="A39" s="504"/>
    </row>
    <row r="40" spans="1:1" s="7" customFormat="1" ht="12.75" x14ac:dyDescent="0.2">
      <c r="A40" s="504"/>
    </row>
    <row r="41" spans="1:1" s="7" customFormat="1" ht="12.75" x14ac:dyDescent="0.2">
      <c r="A41" s="504"/>
    </row>
    <row r="42" spans="1:1" s="7" customFormat="1" ht="12.75" x14ac:dyDescent="0.2">
      <c r="A42" s="504"/>
    </row>
    <row r="43" spans="1:1" s="7" customFormat="1" ht="12.75" x14ac:dyDescent="0.2">
      <c r="A43" s="504"/>
    </row>
    <row r="44" spans="1:1" s="7" customFormat="1" ht="12.75" x14ac:dyDescent="0.2">
      <c r="A44" s="504"/>
    </row>
    <row r="45" spans="1:1" s="7" customFormat="1" ht="12.75" x14ac:dyDescent="0.2">
      <c r="A45" s="504"/>
    </row>
    <row r="46" spans="1:1" s="7" customFormat="1" ht="12.75" x14ac:dyDescent="0.2">
      <c r="A46" s="504"/>
    </row>
    <row r="47" spans="1:1" s="7" customFormat="1" ht="12.75" x14ac:dyDescent="0.2">
      <c r="A47" s="504"/>
    </row>
    <row r="48" spans="1:1" s="7" customFormat="1" ht="12.75" x14ac:dyDescent="0.2">
      <c r="A48" s="504"/>
    </row>
    <row r="49" spans="1:1" s="7" customFormat="1" ht="12.75" x14ac:dyDescent="0.2">
      <c r="A49" s="504"/>
    </row>
    <row r="50" spans="1:1" s="7" customFormat="1" ht="12.75" x14ac:dyDescent="0.2">
      <c r="A50" s="504"/>
    </row>
    <row r="51" spans="1:1" s="7" customFormat="1" ht="12.75" x14ac:dyDescent="0.2">
      <c r="A51" s="504"/>
    </row>
    <row r="52" spans="1:1" s="7" customFormat="1" ht="12.75" x14ac:dyDescent="0.2">
      <c r="A52" s="504"/>
    </row>
    <row r="53" spans="1:1" s="7" customFormat="1" ht="12.75" x14ac:dyDescent="0.2">
      <c r="A53" s="504"/>
    </row>
    <row r="54" spans="1:1" s="7" customFormat="1" ht="12.75" x14ac:dyDescent="0.2">
      <c r="A54" s="504"/>
    </row>
    <row r="55" spans="1:1" s="7" customFormat="1" ht="12.75" x14ac:dyDescent="0.2">
      <c r="A55" s="504"/>
    </row>
  </sheetData>
  <hyperlinks>
    <hyperlink ref="A8" location="'Color Code'!A1" display="Color Code"/>
    <hyperlink ref="A10" location="'Development by Block'!A1" display="Development by Block"/>
  </hyperlinks>
  <printOptions horizontalCentered="1"/>
  <pageMargins left="0.25" right="0.25" top="0.5" bottom="0.5" header="0.3" footer="0.3"/>
  <pageSetup scale="76" fitToHeight="0" orientation="landscape" r:id="rId1"/>
  <colBreaks count="1" manualBreakCount="1">
    <brk id="408"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pageSetUpPr fitToPage="1"/>
  </sheetPr>
  <dimension ref="A1:WVM81"/>
  <sheetViews>
    <sheetView showGridLines="0" zoomScaleNormal="100" zoomScaleSheetLayoutView="100" workbookViewId="0">
      <selection activeCell="B3" sqref="B3"/>
    </sheetView>
  </sheetViews>
  <sheetFormatPr defaultColWidth="0" defaultRowHeight="12.75" zeroHeight="1" x14ac:dyDescent="0.2"/>
  <cols>
    <col min="1" max="1" width="5.7109375" style="92" customWidth="1"/>
    <col min="2" max="2" width="43.28515625" style="92" customWidth="1"/>
    <col min="3" max="3" width="15.28515625" style="92" bestFit="1" customWidth="1"/>
    <col min="4" max="4" width="16.7109375" style="109" customWidth="1"/>
    <col min="5" max="5" width="6.140625" style="92" customWidth="1"/>
    <col min="6" max="6" width="33.5703125" style="92" customWidth="1"/>
    <col min="7" max="7" width="16" style="92" bestFit="1" customWidth="1"/>
    <col min="8" max="8" width="5.7109375" style="92" customWidth="1"/>
    <col min="9" max="253" width="9.140625" style="92" hidden="1"/>
    <col min="254" max="254" width="36.140625" style="92" hidden="1"/>
    <col min="255" max="255" width="15.28515625" style="92" hidden="1"/>
    <col min="256" max="256" width="14.140625" style="92" hidden="1"/>
    <col min="257" max="257" width="9.140625" style="92" hidden="1"/>
    <col min="258" max="258" width="6.140625" style="92" hidden="1"/>
    <col min="259" max="259" width="31.140625" style="92" hidden="1"/>
    <col min="260" max="260" width="16" style="92" hidden="1"/>
    <col min="261" max="509" width="9.140625" style="92" hidden="1"/>
    <col min="510" max="510" width="36.140625" style="92" hidden="1"/>
    <col min="511" max="511" width="15.28515625" style="92" hidden="1"/>
    <col min="512" max="512" width="14.140625" style="92" hidden="1"/>
    <col min="513" max="513" width="9.140625" style="92" hidden="1"/>
    <col min="514" max="514" width="6.140625" style="92" hidden="1"/>
    <col min="515" max="515" width="31.140625" style="92" hidden="1"/>
    <col min="516" max="516" width="16" style="92" hidden="1"/>
    <col min="517" max="765" width="9.140625" style="92" hidden="1"/>
    <col min="766" max="766" width="36.140625" style="92" hidden="1"/>
    <col min="767" max="767" width="15.28515625" style="92" hidden="1"/>
    <col min="768" max="768" width="14.140625" style="92" hidden="1"/>
    <col min="769" max="769" width="9.140625" style="92" hidden="1"/>
    <col min="770" max="770" width="6.140625" style="92" hidden="1"/>
    <col min="771" max="771" width="31.140625" style="92" hidden="1"/>
    <col min="772" max="772" width="16" style="92" hidden="1"/>
    <col min="773" max="1021" width="9.140625" style="92" hidden="1"/>
    <col min="1022" max="1022" width="36.140625" style="92" hidden="1"/>
    <col min="1023" max="1023" width="15.28515625" style="92" hidden="1"/>
    <col min="1024" max="1024" width="14.140625" style="92" hidden="1"/>
    <col min="1025" max="1025" width="9.140625" style="92" hidden="1"/>
    <col min="1026" max="1026" width="6.140625" style="92" hidden="1"/>
    <col min="1027" max="1027" width="31.140625" style="92" hidden="1"/>
    <col min="1028" max="1028" width="16" style="92" hidden="1"/>
    <col min="1029" max="1277" width="9.140625" style="92" hidden="1"/>
    <col min="1278" max="1278" width="36.140625" style="92" hidden="1"/>
    <col min="1279" max="1279" width="15.28515625" style="92" hidden="1"/>
    <col min="1280" max="1280" width="14.140625" style="92" hidden="1"/>
    <col min="1281" max="1281" width="9.140625" style="92" hidden="1"/>
    <col min="1282" max="1282" width="6.140625" style="92" hidden="1"/>
    <col min="1283" max="1283" width="31.140625" style="92" hidden="1"/>
    <col min="1284" max="1284" width="16" style="92" hidden="1"/>
    <col min="1285" max="1533" width="9.140625" style="92" hidden="1"/>
    <col min="1534" max="1534" width="36.140625" style="92" hidden="1"/>
    <col min="1535" max="1535" width="15.28515625" style="92" hidden="1"/>
    <col min="1536" max="1536" width="14.140625" style="92" hidden="1"/>
    <col min="1537" max="1537" width="9.140625" style="92" hidden="1"/>
    <col min="1538" max="1538" width="6.140625" style="92" hidden="1"/>
    <col min="1539" max="1539" width="31.140625" style="92" hidden="1"/>
    <col min="1540" max="1540" width="16" style="92" hidden="1"/>
    <col min="1541" max="1789" width="9.140625" style="92" hidden="1"/>
    <col min="1790" max="1790" width="36.140625" style="92" hidden="1"/>
    <col min="1791" max="1791" width="15.28515625" style="92" hidden="1"/>
    <col min="1792" max="1792" width="14.140625" style="92" hidden="1"/>
    <col min="1793" max="1793" width="9.140625" style="92" hidden="1"/>
    <col min="1794" max="1794" width="6.140625" style="92" hidden="1"/>
    <col min="1795" max="1795" width="31.140625" style="92" hidden="1"/>
    <col min="1796" max="1796" width="16" style="92" hidden="1"/>
    <col min="1797" max="2045" width="9.140625" style="92" hidden="1"/>
    <col min="2046" max="2046" width="36.140625" style="92" hidden="1"/>
    <col min="2047" max="2047" width="15.28515625" style="92" hidden="1"/>
    <col min="2048" max="2048" width="14.140625" style="92" hidden="1"/>
    <col min="2049" max="2049" width="9.140625" style="92" hidden="1"/>
    <col min="2050" max="2050" width="6.140625" style="92" hidden="1"/>
    <col min="2051" max="2051" width="31.140625" style="92" hidden="1"/>
    <col min="2052" max="2052" width="16" style="92" hidden="1"/>
    <col min="2053" max="2301" width="9.140625" style="92" hidden="1"/>
    <col min="2302" max="2302" width="36.140625" style="92" hidden="1"/>
    <col min="2303" max="2303" width="15.28515625" style="92" hidden="1"/>
    <col min="2304" max="2304" width="14.140625" style="92" hidden="1"/>
    <col min="2305" max="2305" width="9.140625" style="92" hidden="1"/>
    <col min="2306" max="2306" width="6.140625" style="92" hidden="1"/>
    <col min="2307" max="2307" width="31.140625" style="92" hidden="1"/>
    <col min="2308" max="2308" width="16" style="92" hidden="1"/>
    <col min="2309" max="2557" width="9.140625" style="92" hidden="1"/>
    <col min="2558" max="2558" width="36.140625" style="92" hidden="1"/>
    <col min="2559" max="2559" width="15.28515625" style="92" hidden="1"/>
    <col min="2560" max="2560" width="14.140625" style="92" hidden="1"/>
    <col min="2561" max="2561" width="9.140625" style="92" hidden="1"/>
    <col min="2562" max="2562" width="6.140625" style="92" hidden="1"/>
    <col min="2563" max="2563" width="31.140625" style="92" hidden="1"/>
    <col min="2564" max="2564" width="16" style="92" hidden="1"/>
    <col min="2565" max="2813" width="9.140625" style="92" hidden="1"/>
    <col min="2814" max="2814" width="36.140625" style="92" hidden="1"/>
    <col min="2815" max="2815" width="15.28515625" style="92" hidden="1"/>
    <col min="2816" max="2816" width="14.140625" style="92" hidden="1"/>
    <col min="2817" max="2817" width="9.140625" style="92" hidden="1"/>
    <col min="2818" max="2818" width="6.140625" style="92" hidden="1"/>
    <col min="2819" max="2819" width="31.140625" style="92" hidden="1"/>
    <col min="2820" max="2820" width="16" style="92" hidden="1"/>
    <col min="2821" max="3069" width="9.140625" style="92" hidden="1"/>
    <col min="3070" max="3070" width="36.140625" style="92" hidden="1"/>
    <col min="3071" max="3071" width="15.28515625" style="92" hidden="1"/>
    <col min="3072" max="3072" width="14.140625" style="92" hidden="1"/>
    <col min="3073" max="3073" width="9.140625" style="92" hidden="1"/>
    <col min="3074" max="3074" width="6.140625" style="92" hidden="1"/>
    <col min="3075" max="3075" width="31.140625" style="92" hidden="1"/>
    <col min="3076" max="3076" width="16" style="92" hidden="1"/>
    <col min="3077" max="3325" width="9.140625" style="92" hidden="1"/>
    <col min="3326" max="3326" width="36.140625" style="92" hidden="1"/>
    <col min="3327" max="3327" width="15.28515625" style="92" hidden="1"/>
    <col min="3328" max="3328" width="14.140625" style="92" hidden="1"/>
    <col min="3329" max="3329" width="9.140625" style="92" hidden="1"/>
    <col min="3330" max="3330" width="6.140625" style="92" hidden="1"/>
    <col min="3331" max="3331" width="31.140625" style="92" hidden="1"/>
    <col min="3332" max="3332" width="16" style="92" hidden="1"/>
    <col min="3333" max="3581" width="9.140625" style="92" hidden="1"/>
    <col min="3582" max="3582" width="36.140625" style="92" hidden="1"/>
    <col min="3583" max="3583" width="15.28515625" style="92" hidden="1"/>
    <col min="3584" max="3584" width="14.140625" style="92" hidden="1"/>
    <col min="3585" max="3585" width="9.140625" style="92" hidden="1"/>
    <col min="3586" max="3586" width="6.140625" style="92" hidden="1"/>
    <col min="3587" max="3587" width="31.140625" style="92" hidden="1"/>
    <col min="3588" max="3588" width="16" style="92" hidden="1"/>
    <col min="3589" max="3837" width="9.140625" style="92" hidden="1"/>
    <col min="3838" max="3838" width="36.140625" style="92" hidden="1"/>
    <col min="3839" max="3839" width="15.28515625" style="92" hidden="1"/>
    <col min="3840" max="3840" width="14.140625" style="92" hidden="1"/>
    <col min="3841" max="3841" width="9.140625" style="92" hidden="1"/>
    <col min="3842" max="3842" width="6.140625" style="92" hidden="1"/>
    <col min="3843" max="3843" width="31.140625" style="92" hidden="1"/>
    <col min="3844" max="3844" width="16" style="92" hidden="1"/>
    <col min="3845" max="4093" width="9.140625" style="92" hidden="1"/>
    <col min="4094" max="4094" width="36.140625" style="92" hidden="1"/>
    <col min="4095" max="4095" width="15.28515625" style="92" hidden="1"/>
    <col min="4096" max="4096" width="14.140625" style="92" hidden="1"/>
    <col min="4097" max="4097" width="9.140625" style="92" hidden="1"/>
    <col min="4098" max="4098" width="6.140625" style="92" hidden="1"/>
    <col min="4099" max="4099" width="31.140625" style="92" hidden="1"/>
    <col min="4100" max="4100" width="16" style="92" hidden="1"/>
    <col min="4101" max="4349" width="9.140625" style="92" hidden="1"/>
    <col min="4350" max="4350" width="36.140625" style="92" hidden="1"/>
    <col min="4351" max="4351" width="15.28515625" style="92" hidden="1"/>
    <col min="4352" max="4352" width="14.140625" style="92" hidden="1"/>
    <col min="4353" max="4353" width="9.140625" style="92" hidden="1"/>
    <col min="4354" max="4354" width="6.140625" style="92" hidden="1"/>
    <col min="4355" max="4355" width="31.140625" style="92" hidden="1"/>
    <col min="4356" max="4356" width="16" style="92" hidden="1"/>
    <col min="4357" max="4605" width="9.140625" style="92" hidden="1"/>
    <col min="4606" max="4606" width="36.140625" style="92" hidden="1"/>
    <col min="4607" max="4607" width="15.28515625" style="92" hidden="1"/>
    <col min="4608" max="4608" width="14.140625" style="92" hidden="1"/>
    <col min="4609" max="4609" width="9.140625" style="92" hidden="1"/>
    <col min="4610" max="4610" width="6.140625" style="92" hidden="1"/>
    <col min="4611" max="4611" width="31.140625" style="92" hidden="1"/>
    <col min="4612" max="4612" width="16" style="92" hidden="1"/>
    <col min="4613" max="4861" width="9.140625" style="92" hidden="1"/>
    <col min="4862" max="4862" width="36.140625" style="92" hidden="1"/>
    <col min="4863" max="4863" width="15.28515625" style="92" hidden="1"/>
    <col min="4864" max="4864" width="14.140625" style="92" hidden="1"/>
    <col min="4865" max="4865" width="9.140625" style="92" hidden="1"/>
    <col min="4866" max="4866" width="6.140625" style="92" hidden="1"/>
    <col min="4867" max="4867" width="31.140625" style="92" hidden="1"/>
    <col min="4868" max="4868" width="16" style="92" hidden="1"/>
    <col min="4869" max="5117" width="9.140625" style="92" hidden="1"/>
    <col min="5118" max="5118" width="36.140625" style="92" hidden="1"/>
    <col min="5119" max="5119" width="15.28515625" style="92" hidden="1"/>
    <col min="5120" max="5120" width="14.140625" style="92" hidden="1"/>
    <col min="5121" max="5121" width="9.140625" style="92" hidden="1"/>
    <col min="5122" max="5122" width="6.140625" style="92" hidden="1"/>
    <col min="5123" max="5123" width="31.140625" style="92" hidden="1"/>
    <col min="5124" max="5124" width="16" style="92" hidden="1"/>
    <col min="5125" max="5373" width="9.140625" style="92" hidden="1"/>
    <col min="5374" max="5374" width="36.140625" style="92" hidden="1"/>
    <col min="5375" max="5375" width="15.28515625" style="92" hidden="1"/>
    <col min="5376" max="5376" width="14.140625" style="92" hidden="1"/>
    <col min="5377" max="5377" width="9.140625" style="92" hidden="1"/>
    <col min="5378" max="5378" width="6.140625" style="92" hidden="1"/>
    <col min="5379" max="5379" width="31.140625" style="92" hidden="1"/>
    <col min="5380" max="5380" width="16" style="92" hidden="1"/>
    <col min="5381" max="5629" width="9.140625" style="92" hidden="1"/>
    <col min="5630" max="5630" width="36.140625" style="92" hidden="1"/>
    <col min="5631" max="5631" width="15.28515625" style="92" hidden="1"/>
    <col min="5632" max="5632" width="14.140625" style="92" hidden="1"/>
    <col min="5633" max="5633" width="9.140625" style="92" hidden="1"/>
    <col min="5634" max="5634" width="6.140625" style="92" hidden="1"/>
    <col min="5635" max="5635" width="31.140625" style="92" hidden="1"/>
    <col min="5636" max="5636" width="16" style="92" hidden="1"/>
    <col min="5637" max="5885" width="9.140625" style="92" hidden="1"/>
    <col min="5886" max="5886" width="36.140625" style="92" hidden="1"/>
    <col min="5887" max="5887" width="15.28515625" style="92" hidden="1"/>
    <col min="5888" max="5888" width="14.140625" style="92" hidden="1"/>
    <col min="5889" max="5889" width="9.140625" style="92" hidden="1"/>
    <col min="5890" max="5890" width="6.140625" style="92" hidden="1"/>
    <col min="5891" max="5891" width="31.140625" style="92" hidden="1"/>
    <col min="5892" max="5892" width="16" style="92" hidden="1"/>
    <col min="5893" max="6141" width="9.140625" style="92" hidden="1"/>
    <col min="6142" max="6142" width="36.140625" style="92" hidden="1"/>
    <col min="6143" max="6143" width="15.28515625" style="92" hidden="1"/>
    <col min="6144" max="6144" width="14.140625" style="92" hidden="1"/>
    <col min="6145" max="6145" width="9.140625" style="92" hidden="1"/>
    <col min="6146" max="6146" width="6.140625" style="92" hidden="1"/>
    <col min="6147" max="6147" width="31.140625" style="92" hidden="1"/>
    <col min="6148" max="6148" width="16" style="92" hidden="1"/>
    <col min="6149" max="6397" width="9.140625" style="92" hidden="1"/>
    <col min="6398" max="6398" width="36.140625" style="92" hidden="1"/>
    <col min="6399" max="6399" width="15.28515625" style="92" hidden="1"/>
    <col min="6400" max="6400" width="14.140625" style="92" hidden="1"/>
    <col min="6401" max="6401" width="9.140625" style="92" hidden="1"/>
    <col min="6402" max="6402" width="6.140625" style="92" hidden="1"/>
    <col min="6403" max="6403" width="31.140625" style="92" hidden="1"/>
    <col min="6404" max="6404" width="16" style="92" hidden="1"/>
    <col min="6405" max="6653" width="9.140625" style="92" hidden="1"/>
    <col min="6654" max="6654" width="36.140625" style="92" hidden="1"/>
    <col min="6655" max="6655" width="15.28515625" style="92" hidden="1"/>
    <col min="6656" max="6656" width="14.140625" style="92" hidden="1"/>
    <col min="6657" max="6657" width="9.140625" style="92" hidden="1"/>
    <col min="6658" max="6658" width="6.140625" style="92" hidden="1"/>
    <col min="6659" max="6659" width="31.140625" style="92" hidden="1"/>
    <col min="6660" max="6660" width="16" style="92" hidden="1"/>
    <col min="6661" max="6909" width="9.140625" style="92" hidden="1"/>
    <col min="6910" max="6910" width="36.140625" style="92" hidden="1"/>
    <col min="6911" max="6911" width="15.28515625" style="92" hidden="1"/>
    <col min="6912" max="6912" width="14.140625" style="92" hidden="1"/>
    <col min="6913" max="6913" width="9.140625" style="92" hidden="1"/>
    <col min="6914" max="6914" width="6.140625" style="92" hidden="1"/>
    <col min="6915" max="6915" width="31.140625" style="92" hidden="1"/>
    <col min="6916" max="6916" width="16" style="92" hidden="1"/>
    <col min="6917" max="7165" width="9.140625" style="92" hidden="1"/>
    <col min="7166" max="7166" width="36.140625" style="92" hidden="1"/>
    <col min="7167" max="7167" width="15.28515625" style="92" hidden="1"/>
    <col min="7168" max="7168" width="14.140625" style="92" hidden="1"/>
    <col min="7169" max="7169" width="9.140625" style="92" hidden="1"/>
    <col min="7170" max="7170" width="6.140625" style="92" hidden="1"/>
    <col min="7171" max="7171" width="31.140625" style="92" hidden="1"/>
    <col min="7172" max="7172" width="16" style="92" hidden="1"/>
    <col min="7173" max="7421" width="9.140625" style="92" hidden="1"/>
    <col min="7422" max="7422" width="36.140625" style="92" hidden="1"/>
    <col min="7423" max="7423" width="15.28515625" style="92" hidden="1"/>
    <col min="7424" max="7424" width="14.140625" style="92" hidden="1"/>
    <col min="7425" max="7425" width="9.140625" style="92" hidden="1"/>
    <col min="7426" max="7426" width="6.140625" style="92" hidden="1"/>
    <col min="7427" max="7427" width="31.140625" style="92" hidden="1"/>
    <col min="7428" max="7428" width="16" style="92" hidden="1"/>
    <col min="7429" max="7677" width="9.140625" style="92" hidden="1"/>
    <col min="7678" max="7678" width="36.140625" style="92" hidden="1"/>
    <col min="7679" max="7679" width="15.28515625" style="92" hidden="1"/>
    <col min="7680" max="7680" width="14.140625" style="92" hidden="1"/>
    <col min="7681" max="7681" width="9.140625" style="92" hidden="1"/>
    <col min="7682" max="7682" width="6.140625" style="92" hidden="1"/>
    <col min="7683" max="7683" width="31.140625" style="92" hidden="1"/>
    <col min="7684" max="7684" width="16" style="92" hidden="1"/>
    <col min="7685" max="7933" width="9.140625" style="92" hidden="1"/>
    <col min="7934" max="7934" width="36.140625" style="92" hidden="1"/>
    <col min="7935" max="7935" width="15.28515625" style="92" hidden="1"/>
    <col min="7936" max="7936" width="14.140625" style="92" hidden="1"/>
    <col min="7937" max="7937" width="9.140625" style="92" hidden="1"/>
    <col min="7938" max="7938" width="6.140625" style="92" hidden="1"/>
    <col min="7939" max="7939" width="31.140625" style="92" hidden="1"/>
    <col min="7940" max="7940" width="16" style="92" hidden="1"/>
    <col min="7941" max="8189" width="9.140625" style="92" hidden="1"/>
    <col min="8190" max="8190" width="36.140625" style="92" hidden="1"/>
    <col min="8191" max="8191" width="15.28515625" style="92" hidden="1"/>
    <col min="8192" max="8192" width="14.140625" style="92" hidden="1"/>
    <col min="8193" max="8193" width="9.140625" style="92" hidden="1"/>
    <col min="8194" max="8194" width="6.140625" style="92" hidden="1"/>
    <col min="8195" max="8195" width="31.140625" style="92" hidden="1"/>
    <col min="8196" max="8196" width="16" style="92" hidden="1"/>
    <col min="8197" max="8445" width="9.140625" style="92" hidden="1"/>
    <col min="8446" max="8446" width="36.140625" style="92" hidden="1"/>
    <col min="8447" max="8447" width="15.28515625" style="92" hidden="1"/>
    <col min="8448" max="8448" width="14.140625" style="92" hidden="1"/>
    <col min="8449" max="8449" width="9.140625" style="92" hidden="1"/>
    <col min="8450" max="8450" width="6.140625" style="92" hidden="1"/>
    <col min="8451" max="8451" width="31.140625" style="92" hidden="1"/>
    <col min="8452" max="8452" width="16" style="92" hidden="1"/>
    <col min="8453" max="8701" width="9.140625" style="92" hidden="1"/>
    <col min="8702" max="8702" width="36.140625" style="92" hidden="1"/>
    <col min="8703" max="8703" width="15.28515625" style="92" hidden="1"/>
    <col min="8704" max="8704" width="14.140625" style="92" hidden="1"/>
    <col min="8705" max="8705" width="9.140625" style="92" hidden="1"/>
    <col min="8706" max="8706" width="6.140625" style="92" hidden="1"/>
    <col min="8707" max="8707" width="31.140625" style="92" hidden="1"/>
    <col min="8708" max="8708" width="16" style="92" hidden="1"/>
    <col min="8709" max="8957" width="9.140625" style="92" hidden="1"/>
    <col min="8958" max="8958" width="36.140625" style="92" hidden="1"/>
    <col min="8959" max="8959" width="15.28515625" style="92" hidden="1"/>
    <col min="8960" max="8960" width="14.140625" style="92" hidden="1"/>
    <col min="8961" max="8961" width="9.140625" style="92" hidden="1"/>
    <col min="8962" max="8962" width="6.140625" style="92" hidden="1"/>
    <col min="8963" max="8963" width="31.140625" style="92" hidden="1"/>
    <col min="8964" max="8964" width="16" style="92" hidden="1"/>
    <col min="8965" max="9213" width="9.140625" style="92" hidden="1"/>
    <col min="9214" max="9214" width="36.140625" style="92" hidden="1"/>
    <col min="9215" max="9215" width="15.28515625" style="92" hidden="1"/>
    <col min="9216" max="9216" width="14.140625" style="92" hidden="1"/>
    <col min="9217" max="9217" width="9.140625" style="92" hidden="1"/>
    <col min="9218" max="9218" width="6.140625" style="92" hidden="1"/>
    <col min="9219" max="9219" width="31.140625" style="92" hidden="1"/>
    <col min="9220" max="9220" width="16" style="92" hidden="1"/>
    <col min="9221" max="9469" width="9.140625" style="92" hidden="1"/>
    <col min="9470" max="9470" width="36.140625" style="92" hidden="1"/>
    <col min="9471" max="9471" width="15.28515625" style="92" hidden="1"/>
    <col min="9472" max="9472" width="14.140625" style="92" hidden="1"/>
    <col min="9473" max="9473" width="9.140625" style="92" hidden="1"/>
    <col min="9474" max="9474" width="6.140625" style="92" hidden="1"/>
    <col min="9475" max="9475" width="31.140625" style="92" hidden="1"/>
    <col min="9476" max="9476" width="16" style="92" hidden="1"/>
    <col min="9477" max="9725" width="9.140625" style="92" hidden="1"/>
    <col min="9726" max="9726" width="36.140625" style="92" hidden="1"/>
    <col min="9727" max="9727" width="15.28515625" style="92" hidden="1"/>
    <col min="9728" max="9728" width="14.140625" style="92" hidden="1"/>
    <col min="9729" max="9729" width="9.140625" style="92" hidden="1"/>
    <col min="9730" max="9730" width="6.140625" style="92" hidden="1"/>
    <col min="9731" max="9731" width="31.140625" style="92" hidden="1"/>
    <col min="9732" max="9732" width="16" style="92" hidden="1"/>
    <col min="9733" max="9981" width="9.140625" style="92" hidden="1"/>
    <col min="9982" max="9982" width="36.140625" style="92" hidden="1"/>
    <col min="9983" max="9983" width="15.28515625" style="92" hidden="1"/>
    <col min="9984" max="9984" width="14.140625" style="92" hidden="1"/>
    <col min="9985" max="9985" width="9.140625" style="92" hidden="1"/>
    <col min="9986" max="9986" width="6.140625" style="92" hidden="1"/>
    <col min="9987" max="9987" width="31.140625" style="92" hidden="1"/>
    <col min="9988" max="9988" width="16" style="92" hidden="1"/>
    <col min="9989" max="10237" width="9.140625" style="92" hidden="1"/>
    <col min="10238" max="10238" width="36.140625" style="92" hidden="1"/>
    <col min="10239" max="10239" width="15.28515625" style="92" hidden="1"/>
    <col min="10240" max="10240" width="14.140625" style="92" hidden="1"/>
    <col min="10241" max="10241" width="9.140625" style="92" hidden="1"/>
    <col min="10242" max="10242" width="6.140625" style="92" hidden="1"/>
    <col min="10243" max="10243" width="31.140625" style="92" hidden="1"/>
    <col min="10244" max="10244" width="16" style="92" hidden="1"/>
    <col min="10245" max="10493" width="9.140625" style="92" hidden="1"/>
    <col min="10494" max="10494" width="36.140625" style="92" hidden="1"/>
    <col min="10495" max="10495" width="15.28515625" style="92" hidden="1"/>
    <col min="10496" max="10496" width="14.140625" style="92" hidden="1"/>
    <col min="10497" max="10497" width="9.140625" style="92" hidden="1"/>
    <col min="10498" max="10498" width="6.140625" style="92" hidden="1"/>
    <col min="10499" max="10499" width="31.140625" style="92" hidden="1"/>
    <col min="10500" max="10500" width="16" style="92" hidden="1"/>
    <col min="10501" max="10749" width="9.140625" style="92" hidden="1"/>
    <col min="10750" max="10750" width="36.140625" style="92" hidden="1"/>
    <col min="10751" max="10751" width="15.28515625" style="92" hidden="1"/>
    <col min="10752" max="10752" width="14.140625" style="92" hidden="1"/>
    <col min="10753" max="10753" width="9.140625" style="92" hidden="1"/>
    <col min="10754" max="10754" width="6.140625" style="92" hidden="1"/>
    <col min="10755" max="10755" width="31.140625" style="92" hidden="1"/>
    <col min="10756" max="10756" width="16" style="92" hidden="1"/>
    <col min="10757" max="11005" width="9.140625" style="92" hidden="1"/>
    <col min="11006" max="11006" width="36.140625" style="92" hidden="1"/>
    <col min="11007" max="11007" width="15.28515625" style="92" hidden="1"/>
    <col min="11008" max="11008" width="14.140625" style="92" hidden="1"/>
    <col min="11009" max="11009" width="9.140625" style="92" hidden="1"/>
    <col min="11010" max="11010" width="6.140625" style="92" hidden="1"/>
    <col min="11011" max="11011" width="31.140625" style="92" hidden="1"/>
    <col min="11012" max="11012" width="16" style="92" hidden="1"/>
    <col min="11013" max="11261" width="9.140625" style="92" hidden="1"/>
    <col min="11262" max="11262" width="36.140625" style="92" hidden="1"/>
    <col min="11263" max="11263" width="15.28515625" style="92" hidden="1"/>
    <col min="11264" max="11264" width="14.140625" style="92" hidden="1"/>
    <col min="11265" max="11265" width="9.140625" style="92" hidden="1"/>
    <col min="11266" max="11266" width="6.140625" style="92" hidden="1"/>
    <col min="11267" max="11267" width="31.140625" style="92" hidden="1"/>
    <col min="11268" max="11268" width="16" style="92" hidden="1"/>
    <col min="11269" max="11517" width="9.140625" style="92" hidden="1"/>
    <col min="11518" max="11518" width="36.140625" style="92" hidden="1"/>
    <col min="11519" max="11519" width="15.28515625" style="92" hidden="1"/>
    <col min="11520" max="11520" width="14.140625" style="92" hidden="1"/>
    <col min="11521" max="11521" width="9.140625" style="92" hidden="1"/>
    <col min="11522" max="11522" width="6.140625" style="92" hidden="1"/>
    <col min="11523" max="11523" width="31.140625" style="92" hidden="1"/>
    <col min="11524" max="11524" width="16" style="92" hidden="1"/>
    <col min="11525" max="11773" width="9.140625" style="92" hidden="1"/>
    <col min="11774" max="11774" width="36.140625" style="92" hidden="1"/>
    <col min="11775" max="11775" width="15.28515625" style="92" hidden="1"/>
    <col min="11776" max="11776" width="14.140625" style="92" hidden="1"/>
    <col min="11777" max="11777" width="9.140625" style="92" hidden="1"/>
    <col min="11778" max="11778" width="6.140625" style="92" hidden="1"/>
    <col min="11779" max="11779" width="31.140625" style="92" hidden="1"/>
    <col min="11780" max="11780" width="16" style="92" hidden="1"/>
    <col min="11781" max="12029" width="9.140625" style="92" hidden="1"/>
    <col min="12030" max="12030" width="36.140625" style="92" hidden="1"/>
    <col min="12031" max="12031" width="15.28515625" style="92" hidden="1"/>
    <col min="12032" max="12032" width="14.140625" style="92" hidden="1"/>
    <col min="12033" max="12033" width="9.140625" style="92" hidden="1"/>
    <col min="12034" max="12034" width="6.140625" style="92" hidden="1"/>
    <col min="12035" max="12035" width="31.140625" style="92" hidden="1"/>
    <col min="12036" max="12036" width="16" style="92" hidden="1"/>
    <col min="12037" max="12285" width="9.140625" style="92" hidden="1"/>
    <col min="12286" max="12286" width="36.140625" style="92" hidden="1"/>
    <col min="12287" max="12287" width="15.28515625" style="92" hidden="1"/>
    <col min="12288" max="12288" width="14.140625" style="92" hidden="1"/>
    <col min="12289" max="12289" width="9.140625" style="92" hidden="1"/>
    <col min="12290" max="12290" width="6.140625" style="92" hidden="1"/>
    <col min="12291" max="12291" width="31.140625" style="92" hidden="1"/>
    <col min="12292" max="12292" width="16" style="92" hidden="1"/>
    <col min="12293" max="12541" width="9.140625" style="92" hidden="1"/>
    <col min="12542" max="12542" width="36.140625" style="92" hidden="1"/>
    <col min="12543" max="12543" width="15.28515625" style="92" hidden="1"/>
    <col min="12544" max="12544" width="14.140625" style="92" hidden="1"/>
    <col min="12545" max="12545" width="9.140625" style="92" hidden="1"/>
    <col min="12546" max="12546" width="6.140625" style="92" hidden="1"/>
    <col min="12547" max="12547" width="31.140625" style="92" hidden="1"/>
    <col min="12548" max="12548" width="16" style="92" hidden="1"/>
    <col min="12549" max="12797" width="9.140625" style="92" hidden="1"/>
    <col min="12798" max="12798" width="36.140625" style="92" hidden="1"/>
    <col min="12799" max="12799" width="15.28515625" style="92" hidden="1"/>
    <col min="12800" max="12800" width="14.140625" style="92" hidden="1"/>
    <col min="12801" max="12801" width="9.140625" style="92" hidden="1"/>
    <col min="12802" max="12802" width="6.140625" style="92" hidden="1"/>
    <col min="12803" max="12803" width="31.140625" style="92" hidden="1"/>
    <col min="12804" max="12804" width="16" style="92" hidden="1"/>
    <col min="12805" max="13053" width="9.140625" style="92" hidden="1"/>
    <col min="13054" max="13054" width="36.140625" style="92" hidden="1"/>
    <col min="13055" max="13055" width="15.28515625" style="92" hidden="1"/>
    <col min="13056" max="13056" width="14.140625" style="92" hidden="1"/>
    <col min="13057" max="13057" width="9.140625" style="92" hidden="1"/>
    <col min="13058" max="13058" width="6.140625" style="92" hidden="1"/>
    <col min="13059" max="13059" width="31.140625" style="92" hidden="1"/>
    <col min="13060" max="13060" width="16" style="92" hidden="1"/>
    <col min="13061" max="13309" width="9.140625" style="92" hidden="1"/>
    <col min="13310" max="13310" width="36.140625" style="92" hidden="1"/>
    <col min="13311" max="13311" width="15.28515625" style="92" hidden="1"/>
    <col min="13312" max="13312" width="14.140625" style="92" hidden="1"/>
    <col min="13313" max="13313" width="9.140625" style="92" hidden="1"/>
    <col min="13314" max="13314" width="6.140625" style="92" hidden="1"/>
    <col min="13315" max="13315" width="31.140625" style="92" hidden="1"/>
    <col min="13316" max="13316" width="16" style="92" hidden="1"/>
    <col min="13317" max="13565" width="9.140625" style="92" hidden="1"/>
    <col min="13566" max="13566" width="36.140625" style="92" hidden="1"/>
    <col min="13567" max="13567" width="15.28515625" style="92" hidden="1"/>
    <col min="13568" max="13568" width="14.140625" style="92" hidden="1"/>
    <col min="13569" max="13569" width="9.140625" style="92" hidden="1"/>
    <col min="13570" max="13570" width="6.140625" style="92" hidden="1"/>
    <col min="13571" max="13571" width="31.140625" style="92" hidden="1"/>
    <col min="13572" max="13572" width="16" style="92" hidden="1"/>
    <col min="13573" max="13821" width="9.140625" style="92" hidden="1"/>
    <col min="13822" max="13822" width="36.140625" style="92" hidden="1"/>
    <col min="13823" max="13823" width="15.28515625" style="92" hidden="1"/>
    <col min="13824" max="13824" width="14.140625" style="92" hidden="1"/>
    <col min="13825" max="13825" width="9.140625" style="92" hidden="1"/>
    <col min="13826" max="13826" width="6.140625" style="92" hidden="1"/>
    <col min="13827" max="13827" width="31.140625" style="92" hidden="1"/>
    <col min="13828" max="13828" width="16" style="92" hidden="1"/>
    <col min="13829" max="14077" width="9.140625" style="92" hidden="1"/>
    <col min="14078" max="14078" width="36.140625" style="92" hidden="1"/>
    <col min="14079" max="14079" width="15.28515625" style="92" hidden="1"/>
    <col min="14080" max="14080" width="14.140625" style="92" hidden="1"/>
    <col min="14081" max="14081" width="9.140625" style="92" hidden="1"/>
    <col min="14082" max="14082" width="6.140625" style="92" hidden="1"/>
    <col min="14083" max="14083" width="31.140625" style="92" hidden="1"/>
    <col min="14084" max="14084" width="16" style="92" hidden="1"/>
    <col min="14085" max="14333" width="9.140625" style="92" hidden="1"/>
    <col min="14334" max="14334" width="36.140625" style="92" hidden="1"/>
    <col min="14335" max="14335" width="15.28515625" style="92" hidden="1"/>
    <col min="14336" max="14336" width="14.140625" style="92" hidden="1"/>
    <col min="14337" max="14337" width="9.140625" style="92" hidden="1"/>
    <col min="14338" max="14338" width="6.140625" style="92" hidden="1"/>
    <col min="14339" max="14339" width="31.140625" style="92" hidden="1"/>
    <col min="14340" max="14340" width="16" style="92" hidden="1"/>
    <col min="14341" max="14589" width="9.140625" style="92" hidden="1"/>
    <col min="14590" max="14590" width="36.140625" style="92" hidden="1"/>
    <col min="14591" max="14591" width="15.28515625" style="92" hidden="1"/>
    <col min="14592" max="14592" width="14.140625" style="92" hidden="1"/>
    <col min="14593" max="14593" width="9.140625" style="92" hidden="1"/>
    <col min="14594" max="14594" width="6.140625" style="92" hidden="1"/>
    <col min="14595" max="14595" width="31.140625" style="92" hidden="1"/>
    <col min="14596" max="14596" width="16" style="92" hidden="1"/>
    <col min="14597" max="14845" width="9.140625" style="92" hidden="1"/>
    <col min="14846" max="14846" width="36.140625" style="92" hidden="1"/>
    <col min="14847" max="14847" width="15.28515625" style="92" hidden="1"/>
    <col min="14848" max="14848" width="14.140625" style="92" hidden="1"/>
    <col min="14849" max="14849" width="9.140625" style="92" hidden="1"/>
    <col min="14850" max="14850" width="6.140625" style="92" hidden="1"/>
    <col min="14851" max="14851" width="31.140625" style="92" hidden="1"/>
    <col min="14852" max="14852" width="16" style="92" hidden="1"/>
    <col min="14853" max="15101" width="9.140625" style="92" hidden="1"/>
    <col min="15102" max="15102" width="36.140625" style="92" hidden="1"/>
    <col min="15103" max="15103" width="15.28515625" style="92" hidden="1"/>
    <col min="15104" max="15104" width="14.140625" style="92" hidden="1"/>
    <col min="15105" max="15105" width="9.140625" style="92" hidden="1"/>
    <col min="15106" max="15106" width="6.140625" style="92" hidden="1"/>
    <col min="15107" max="15107" width="31.140625" style="92" hidden="1"/>
    <col min="15108" max="15108" width="16" style="92" hidden="1"/>
    <col min="15109" max="15357" width="9.140625" style="92" hidden="1"/>
    <col min="15358" max="15358" width="36.140625" style="92" hidden="1"/>
    <col min="15359" max="15359" width="15.28515625" style="92" hidden="1"/>
    <col min="15360" max="15360" width="14.140625" style="92" hidden="1"/>
    <col min="15361" max="15361" width="9.140625" style="92" hidden="1"/>
    <col min="15362" max="15362" width="6.140625" style="92" hidden="1"/>
    <col min="15363" max="15363" width="31.140625" style="92" hidden="1"/>
    <col min="15364" max="15364" width="16" style="92" hidden="1"/>
    <col min="15365" max="15613" width="9.140625" style="92" hidden="1"/>
    <col min="15614" max="15614" width="36.140625" style="92" hidden="1"/>
    <col min="15615" max="15615" width="15.28515625" style="92" hidden="1"/>
    <col min="15616" max="15616" width="14.140625" style="92" hidden="1"/>
    <col min="15617" max="15617" width="9.140625" style="92" hidden="1"/>
    <col min="15618" max="15618" width="6.140625" style="92" hidden="1"/>
    <col min="15619" max="15619" width="31.140625" style="92" hidden="1"/>
    <col min="15620" max="15620" width="16" style="92" hidden="1"/>
    <col min="15621" max="15869" width="9.140625" style="92" hidden="1"/>
    <col min="15870" max="15870" width="36.140625" style="92" hidden="1"/>
    <col min="15871" max="15871" width="15.28515625" style="92" hidden="1"/>
    <col min="15872" max="15872" width="14.140625" style="92" hidden="1"/>
    <col min="15873" max="15873" width="9.140625" style="92" hidden="1"/>
    <col min="15874" max="15874" width="6.140625" style="92" hidden="1"/>
    <col min="15875" max="15875" width="31.140625" style="92" hidden="1"/>
    <col min="15876" max="15876" width="16" style="92" hidden="1"/>
    <col min="15877" max="16125" width="9.140625" style="92" hidden="1"/>
    <col min="16126" max="16126" width="36.140625" style="92" hidden="1"/>
    <col min="16127" max="16127" width="15.28515625" style="92" hidden="1"/>
    <col min="16128" max="16128" width="14.140625" style="92" hidden="1"/>
    <col min="16129" max="16129" width="9.140625" style="92" hidden="1"/>
    <col min="16130" max="16130" width="6.140625" style="92" hidden="1"/>
    <col min="16131" max="16131" width="31.140625" style="92" hidden="1"/>
    <col min="16132" max="16133" width="16" style="92" hidden="1"/>
    <col min="16134" max="16384" width="9.140625" style="92" hidden="1"/>
  </cols>
  <sheetData>
    <row r="1" spans="1:7" ht="20.100000000000001" customHeight="1" x14ac:dyDescent="0.25">
      <c r="A1" s="611" t="s">
        <v>269</v>
      </c>
      <c r="B1" s="596"/>
      <c r="C1" s="107"/>
      <c r="D1" s="108"/>
    </row>
    <row r="2" spans="1:7" s="138" customFormat="1" x14ac:dyDescent="0.2">
      <c r="D2" s="139"/>
    </row>
    <row r="3" spans="1:7" s="138" customFormat="1" ht="15.75" customHeight="1" x14ac:dyDescent="0.2">
      <c r="C3" s="621" t="s">
        <v>115</v>
      </c>
      <c r="D3" s="622"/>
    </row>
    <row r="4" spans="1:7" s="138" customFormat="1" ht="15" customHeight="1" x14ac:dyDescent="0.2">
      <c r="A4" s="393"/>
      <c r="B4" s="393" t="s">
        <v>116</v>
      </c>
      <c r="C4" s="391" t="s">
        <v>117</v>
      </c>
      <c r="D4" s="392" t="str">
        <f>Market!G3</f>
        <v>Years to Absorb</v>
      </c>
      <c r="F4" s="396" t="s">
        <v>244</v>
      </c>
      <c r="G4" s="397"/>
    </row>
    <row r="5" spans="1:7" s="138" customFormat="1" x14ac:dyDescent="0.2">
      <c r="A5" s="350"/>
      <c r="B5" s="140"/>
      <c r="C5" s="161"/>
      <c r="D5" s="172"/>
      <c r="F5" s="157" t="s">
        <v>101</v>
      </c>
      <c r="G5" s="197">
        <f>Value!G46</f>
        <v>18652000</v>
      </c>
    </row>
    <row r="6" spans="1:7" s="138" customFormat="1" x14ac:dyDescent="0.2">
      <c r="A6" s="350"/>
      <c r="B6" s="394" t="s">
        <v>118</v>
      </c>
      <c r="C6" s="162" t="s">
        <v>119</v>
      </c>
      <c r="D6" s="173"/>
      <c r="F6" s="157" t="s">
        <v>120</v>
      </c>
      <c r="G6" s="197">
        <f>-Costs!F43</f>
        <v>-18065000</v>
      </c>
    </row>
    <row r="7" spans="1:7" s="138" customFormat="1" x14ac:dyDescent="0.2">
      <c r="A7" s="350"/>
      <c r="B7" s="151" t="s">
        <v>70</v>
      </c>
      <c r="C7" s="163">
        <f>Costs!C5</f>
        <v>0</v>
      </c>
      <c r="D7" s="507">
        <f>Market!G5</f>
        <v>0</v>
      </c>
      <c r="F7" s="157" t="s">
        <v>121</v>
      </c>
      <c r="G7" s="197">
        <f>-Value!I42</f>
        <v>-7500000</v>
      </c>
    </row>
    <row r="8" spans="1:7" s="138" customFormat="1" x14ac:dyDescent="0.2">
      <c r="A8" s="350"/>
      <c r="B8" s="151" t="s">
        <v>72</v>
      </c>
      <c r="C8" s="163">
        <f>Costs!C7</f>
        <v>0</v>
      </c>
      <c r="D8" s="507">
        <f>Market!G7</f>
        <v>0</v>
      </c>
      <c r="F8" s="157" t="s">
        <v>122</v>
      </c>
      <c r="G8" s="197">
        <f>Value!K46</f>
        <v>0</v>
      </c>
    </row>
    <row r="9" spans="1:7" s="138" customFormat="1" x14ac:dyDescent="0.2">
      <c r="A9" s="350"/>
      <c r="B9" s="152" t="s">
        <v>123</v>
      </c>
      <c r="C9" s="164">
        <f>SUM(C7:C8)</f>
        <v>0</v>
      </c>
      <c r="D9" s="175"/>
      <c r="F9" s="157" t="s">
        <v>124</v>
      </c>
      <c r="G9" s="197">
        <f>Costs!J43-Costs!J42</f>
        <v>981000</v>
      </c>
    </row>
    <row r="10" spans="1:7" s="138" customFormat="1" x14ac:dyDescent="0.2">
      <c r="A10" s="350"/>
      <c r="B10" s="142"/>
      <c r="C10" s="165"/>
      <c r="D10" s="176"/>
      <c r="F10" s="154" t="s">
        <v>125</v>
      </c>
      <c r="G10" s="200">
        <f>SUM(G5:G9)</f>
        <v>-5932000</v>
      </c>
    </row>
    <row r="11" spans="1:7" s="138" customFormat="1" x14ac:dyDescent="0.2">
      <c r="A11" s="350"/>
      <c r="B11" s="395" t="s">
        <v>126</v>
      </c>
      <c r="C11" s="166" t="s">
        <v>119</v>
      </c>
      <c r="D11" s="176"/>
      <c r="F11" s="155" t="s">
        <v>127</v>
      </c>
      <c r="G11" s="201">
        <f>Value!M47</f>
        <v>-0.24129515131793036</v>
      </c>
    </row>
    <row r="12" spans="1:7" s="138" customFormat="1" x14ac:dyDescent="0.2">
      <c r="A12" s="350"/>
      <c r="B12" s="151" t="s">
        <v>71</v>
      </c>
      <c r="C12" s="163">
        <f>Costs!C6</f>
        <v>0</v>
      </c>
      <c r="D12" s="507">
        <f>Market!G6</f>
        <v>0</v>
      </c>
    </row>
    <row r="13" spans="1:7" s="138" customFormat="1" x14ac:dyDescent="0.2">
      <c r="A13" s="350"/>
      <c r="B13" s="151" t="s">
        <v>73</v>
      </c>
      <c r="C13" s="163">
        <f>Costs!C8</f>
        <v>0</v>
      </c>
      <c r="D13" s="507">
        <f>Market!G8</f>
        <v>0</v>
      </c>
      <c r="F13" s="396" t="s">
        <v>133</v>
      </c>
      <c r="G13" s="398"/>
    </row>
    <row r="14" spans="1:7" s="138" customFormat="1" x14ac:dyDescent="0.2">
      <c r="A14" s="350"/>
      <c r="B14" s="151" t="s">
        <v>22</v>
      </c>
      <c r="C14" s="163">
        <f>Costs!C9</f>
        <v>0</v>
      </c>
      <c r="D14" s="507">
        <f>Market!G9</f>
        <v>0</v>
      </c>
      <c r="F14" s="157" t="s">
        <v>134</v>
      </c>
      <c r="G14" s="197">
        <f>'City Revenue'!I43</f>
        <v>600250</v>
      </c>
    </row>
    <row r="15" spans="1:7" s="138" customFormat="1" x14ac:dyDescent="0.2">
      <c r="A15" s="350"/>
      <c r="B15" s="152" t="s">
        <v>128</v>
      </c>
      <c r="C15" s="164">
        <f>C12+C13+C14</f>
        <v>0</v>
      </c>
      <c r="D15" s="175"/>
      <c r="F15" s="157" t="s">
        <v>111</v>
      </c>
      <c r="G15" s="197">
        <f>'City Revenue'!I44</f>
        <v>7500000</v>
      </c>
    </row>
    <row r="16" spans="1:7" s="138" customFormat="1" x14ac:dyDescent="0.2">
      <c r="A16" s="350"/>
      <c r="B16" s="142"/>
      <c r="C16" s="165"/>
      <c r="D16" s="176"/>
      <c r="F16" s="157" t="s">
        <v>205</v>
      </c>
      <c r="G16" s="197">
        <f>'City Revenue'!I46</f>
        <v>-10000000</v>
      </c>
    </row>
    <row r="17" spans="1:7" s="138" customFormat="1" x14ac:dyDescent="0.2">
      <c r="A17" s="350"/>
      <c r="B17" s="395" t="s">
        <v>59</v>
      </c>
      <c r="C17" s="166" t="s">
        <v>130</v>
      </c>
      <c r="D17" s="176"/>
      <c r="F17" s="157" t="s">
        <v>206</v>
      </c>
      <c r="G17" s="197">
        <f>'City Revenue'!I47</f>
        <v>-981000</v>
      </c>
    </row>
    <row r="18" spans="1:7" s="138" customFormat="1" x14ac:dyDescent="0.2">
      <c r="A18" s="350"/>
      <c r="B18" s="151" t="s">
        <v>74</v>
      </c>
      <c r="C18" s="163">
        <f>'Use Allocation'!E13/500</f>
        <v>0</v>
      </c>
      <c r="D18" s="177" t="s">
        <v>53</v>
      </c>
      <c r="F18" s="152" t="s">
        <v>242</v>
      </c>
      <c r="G18" s="198">
        <f>'City Revenue'!I48</f>
        <v>-2880750</v>
      </c>
    </row>
    <row r="19" spans="1:7" s="138" customFormat="1" x14ac:dyDescent="0.2">
      <c r="A19" s="350"/>
      <c r="B19" s="151" t="s">
        <v>75</v>
      </c>
      <c r="C19" s="163">
        <f>Costs!C11</f>
        <v>0</v>
      </c>
      <c r="D19" s="177" t="s">
        <v>53</v>
      </c>
    </row>
    <row r="20" spans="1:7" s="138" customFormat="1" x14ac:dyDescent="0.2">
      <c r="A20" s="350"/>
      <c r="B20" s="152" t="s">
        <v>132</v>
      </c>
      <c r="C20" s="164">
        <f>C18+C19</f>
        <v>0</v>
      </c>
      <c r="D20" s="178" t="s">
        <v>53</v>
      </c>
      <c r="F20" s="396" t="s">
        <v>248</v>
      </c>
      <c r="G20" s="398"/>
    </row>
    <row r="21" spans="1:7" s="138" customFormat="1" x14ac:dyDescent="0.2">
      <c r="A21" s="350"/>
      <c r="B21" s="141"/>
      <c r="C21" s="167"/>
      <c r="D21" s="172"/>
      <c r="F21" s="156" t="s">
        <v>176</v>
      </c>
      <c r="G21" s="199">
        <f>Value!M34*(-1)</f>
        <v>750000</v>
      </c>
    </row>
    <row r="22" spans="1:7" s="138" customFormat="1" x14ac:dyDescent="0.2">
      <c r="A22" s="350"/>
      <c r="B22" s="394" t="s">
        <v>26</v>
      </c>
      <c r="C22" s="166" t="s">
        <v>27</v>
      </c>
      <c r="D22" s="174"/>
    </row>
    <row r="23" spans="1:7" s="138" customFormat="1" x14ac:dyDescent="0.2">
      <c r="A23" s="350"/>
      <c r="B23" s="151" t="s">
        <v>31</v>
      </c>
      <c r="C23" s="163">
        <f>Costs!C13</f>
        <v>0</v>
      </c>
      <c r="D23" s="507">
        <f>Market!G13</f>
        <v>1.3396226415094339</v>
      </c>
      <c r="F23" s="396" t="s">
        <v>129</v>
      </c>
      <c r="G23" s="398"/>
    </row>
    <row r="24" spans="1:7" s="138" customFormat="1" x14ac:dyDescent="0.2">
      <c r="A24" s="350"/>
      <c r="B24" s="151" t="s">
        <v>33</v>
      </c>
      <c r="C24" s="163">
        <f>Costs!C14</f>
        <v>0</v>
      </c>
      <c r="D24" s="507">
        <f>Market!G14</f>
        <v>0</v>
      </c>
      <c r="F24" s="157" t="s">
        <v>131</v>
      </c>
      <c r="G24" s="195">
        <f>SUM(Jobs!F5:F9)</f>
        <v>300</v>
      </c>
    </row>
    <row r="25" spans="1:7" s="138" customFormat="1" x14ac:dyDescent="0.2">
      <c r="A25" s="350"/>
      <c r="B25" s="151" t="s">
        <v>76</v>
      </c>
      <c r="C25" s="163">
        <f>Costs!C15</f>
        <v>0</v>
      </c>
      <c r="D25" s="179" t="s">
        <v>93</v>
      </c>
      <c r="F25" s="157" t="s">
        <v>156</v>
      </c>
      <c r="G25" s="195">
        <f>SUM(Jobs!F11:F16)</f>
        <v>200</v>
      </c>
    </row>
    <row r="26" spans="1:7" s="138" customFormat="1" x14ac:dyDescent="0.2">
      <c r="A26" s="350"/>
      <c r="B26" s="151" t="s">
        <v>77</v>
      </c>
      <c r="C26" s="163">
        <f>Costs!C16</f>
        <v>46500</v>
      </c>
      <c r="D26" s="179" t="s">
        <v>93</v>
      </c>
      <c r="F26" s="157" t="s">
        <v>157</v>
      </c>
      <c r="G26" s="195">
        <f>SUM(Jobs!F18:F19)</f>
        <v>0</v>
      </c>
    </row>
    <row r="27" spans="1:7" s="138" customFormat="1" x14ac:dyDescent="0.2">
      <c r="A27" s="350"/>
      <c r="B27" s="151" t="s">
        <v>78</v>
      </c>
      <c r="C27" s="163">
        <f>Costs!C17</f>
        <v>60000</v>
      </c>
      <c r="D27" s="179" t="s">
        <v>93</v>
      </c>
      <c r="F27" s="152" t="s">
        <v>86</v>
      </c>
      <c r="G27" s="196">
        <f>SUM(G24:G26)</f>
        <v>500</v>
      </c>
    </row>
    <row r="28" spans="1:7" s="138" customFormat="1" x14ac:dyDescent="0.2">
      <c r="A28" s="350"/>
      <c r="B28" s="152" t="s">
        <v>135</v>
      </c>
      <c r="C28" s="164">
        <f>SUM(C23:C27)</f>
        <v>106500</v>
      </c>
      <c r="D28" s="175"/>
    </row>
    <row r="29" spans="1:7" s="138" customFormat="1" x14ac:dyDescent="0.2">
      <c r="A29" s="350"/>
      <c r="B29" s="143"/>
      <c r="C29" s="168"/>
      <c r="D29" s="180"/>
      <c r="F29" s="396" t="s">
        <v>243</v>
      </c>
      <c r="G29" s="398"/>
    </row>
    <row r="30" spans="1:7" s="138" customFormat="1" x14ac:dyDescent="0.2">
      <c r="A30" s="350"/>
      <c r="B30" s="394" t="s">
        <v>35</v>
      </c>
      <c r="C30" s="166" t="s">
        <v>27</v>
      </c>
      <c r="D30" s="174"/>
      <c r="F30" s="157" t="s">
        <v>136</v>
      </c>
      <c r="G30" s="609" t="str">
        <f>IFERROR(C15/(C9+C15),"NAP")</f>
        <v>NAP</v>
      </c>
    </row>
    <row r="31" spans="1:7" s="138" customFormat="1" x14ac:dyDescent="0.2">
      <c r="A31" s="350"/>
      <c r="B31" s="151" t="s">
        <v>37</v>
      </c>
      <c r="C31" s="163">
        <f>Costs!C19</f>
        <v>0</v>
      </c>
      <c r="D31" s="507">
        <f>Market!G19</f>
        <v>0</v>
      </c>
      <c r="F31" s="158" t="s">
        <v>137</v>
      </c>
      <c r="G31" s="610" t="str">
        <f>IFERROR(1-G30,"NAP")</f>
        <v>NAP</v>
      </c>
    </row>
    <row r="32" spans="1:7" s="138" customFormat="1" x14ac:dyDescent="0.2">
      <c r="A32" s="350"/>
      <c r="B32" s="151" t="s">
        <v>39</v>
      </c>
      <c r="C32" s="163">
        <f>Costs!C20</f>
        <v>40000</v>
      </c>
      <c r="D32" s="507">
        <f>Market!G20</f>
        <v>1.3333333333333333</v>
      </c>
    </row>
    <row r="33" spans="1:7" s="138" customFormat="1" x14ac:dyDescent="0.2">
      <c r="A33" s="350"/>
      <c r="B33" s="151" t="s">
        <v>40</v>
      </c>
      <c r="C33" s="163">
        <f>Costs!C21</f>
        <v>0</v>
      </c>
      <c r="D33" s="174" t="s">
        <v>155</v>
      </c>
      <c r="F33" s="396" t="s">
        <v>46</v>
      </c>
      <c r="G33" s="399" t="s">
        <v>139</v>
      </c>
    </row>
    <row r="34" spans="1:7" s="138" customFormat="1" x14ac:dyDescent="0.2">
      <c r="A34" s="350"/>
      <c r="B34" s="151" t="s">
        <v>151</v>
      </c>
      <c r="C34" s="163">
        <f>Costs!C22</f>
        <v>0</v>
      </c>
      <c r="D34" s="174" t="str">
        <f>Market!G21</f>
        <v xml:space="preserve">in Neigh. Ret.  </v>
      </c>
      <c r="F34" s="157" t="s">
        <v>140</v>
      </c>
      <c r="G34" s="193">
        <f>C60/500000</f>
        <v>0.05</v>
      </c>
    </row>
    <row r="35" spans="1:7" s="138" customFormat="1" x14ac:dyDescent="0.2">
      <c r="A35" s="350"/>
      <c r="B35" s="151" t="s">
        <v>79</v>
      </c>
      <c r="C35" s="163">
        <f>Costs!C23</f>
        <v>0</v>
      </c>
      <c r="D35" s="174" t="str">
        <f>Market!G22</f>
        <v xml:space="preserve">in Neigh. Ret.  </v>
      </c>
      <c r="F35" s="157" t="s">
        <v>141</v>
      </c>
      <c r="G35" s="193">
        <f>C61/500000</f>
        <v>0.02</v>
      </c>
    </row>
    <row r="36" spans="1:7" s="138" customFormat="1" x14ac:dyDescent="0.2">
      <c r="A36" s="350"/>
      <c r="B36" s="151" t="s">
        <v>80</v>
      </c>
      <c r="C36" s="163">
        <f>Costs!C24</f>
        <v>0</v>
      </c>
      <c r="D36" s="174" t="str">
        <f>Market!G23</f>
        <v xml:space="preserve">in Neigh. Ret.  </v>
      </c>
      <c r="F36" s="157" t="s">
        <v>143</v>
      </c>
      <c r="G36" s="193">
        <f>C62/500000</f>
        <v>0.02</v>
      </c>
    </row>
    <row r="37" spans="1:7" s="138" customFormat="1" x14ac:dyDescent="0.2">
      <c r="A37" s="350"/>
      <c r="B37" s="152" t="s">
        <v>138</v>
      </c>
      <c r="C37" s="164">
        <f>SUM(C31:C36)</f>
        <v>40000</v>
      </c>
      <c r="D37" s="175"/>
      <c r="F37" s="152" t="s">
        <v>144</v>
      </c>
      <c r="G37" s="194">
        <f>SUM(G34:G36)</f>
        <v>9.0000000000000011E-2</v>
      </c>
    </row>
    <row r="38" spans="1:7" s="138" customFormat="1" x14ac:dyDescent="0.2">
      <c r="A38" s="350"/>
      <c r="B38" s="141"/>
      <c r="C38" s="169"/>
      <c r="D38" s="173"/>
    </row>
    <row r="39" spans="1:7" s="138" customFormat="1" x14ac:dyDescent="0.2">
      <c r="A39" s="350"/>
      <c r="B39" s="394" t="s">
        <v>81</v>
      </c>
      <c r="C39" s="166" t="s">
        <v>27</v>
      </c>
      <c r="D39" s="174"/>
    </row>
    <row r="40" spans="1:7" s="138" customFormat="1" x14ac:dyDescent="0.2">
      <c r="A40" s="350"/>
      <c r="B40" s="182" t="s">
        <v>215</v>
      </c>
      <c r="C40" s="170">
        <f>Costs!C26+Costs!C27</f>
        <v>1500</v>
      </c>
      <c r="D40" s="174" t="s">
        <v>53</v>
      </c>
    </row>
    <row r="41" spans="1:7" s="138" customFormat="1" x14ac:dyDescent="0.2">
      <c r="A41" s="350"/>
      <c r="B41" s="183" t="s">
        <v>249</v>
      </c>
      <c r="C41" s="186">
        <f>'Use Allocation'!E17</f>
        <v>0</v>
      </c>
      <c r="D41" s="174" t="s">
        <v>53</v>
      </c>
    </row>
    <row r="42" spans="1:7" s="138" customFormat="1" x14ac:dyDescent="0.2">
      <c r="A42" s="350"/>
      <c r="B42" s="183" t="s">
        <v>217</v>
      </c>
      <c r="C42" s="186">
        <f>'Use Allocation'!E18</f>
        <v>0</v>
      </c>
      <c r="D42" s="174" t="s">
        <v>53</v>
      </c>
    </row>
    <row r="43" spans="1:7" s="138" customFormat="1" x14ac:dyDescent="0.2">
      <c r="A43" s="350"/>
      <c r="B43" s="184" t="s">
        <v>218</v>
      </c>
      <c r="C43" s="187">
        <f>'Use Allocation'!E19</f>
        <v>0</v>
      </c>
      <c r="D43" s="174" t="s">
        <v>53</v>
      </c>
    </row>
    <row r="44" spans="1:7" s="138" customFormat="1" x14ac:dyDescent="0.2">
      <c r="A44" s="350"/>
      <c r="B44" s="184" t="s">
        <v>219</v>
      </c>
      <c r="C44" s="187">
        <f>'Use Allocation'!E20</f>
        <v>0</v>
      </c>
      <c r="D44" s="174" t="s">
        <v>53</v>
      </c>
    </row>
    <row r="45" spans="1:7" s="138" customFormat="1" x14ac:dyDescent="0.2">
      <c r="A45" s="350"/>
      <c r="B45" s="184" t="s">
        <v>220</v>
      </c>
      <c r="C45" s="187">
        <f>'Use Allocation'!E21</f>
        <v>0</v>
      </c>
      <c r="D45" s="174" t="s">
        <v>53</v>
      </c>
    </row>
    <row r="46" spans="1:7" s="138" customFormat="1" x14ac:dyDescent="0.2">
      <c r="A46" s="350"/>
      <c r="B46" s="184" t="s">
        <v>221</v>
      </c>
      <c r="C46" s="187">
        <f>'Use Allocation'!E22</f>
        <v>0</v>
      </c>
      <c r="D46" s="174" t="s">
        <v>53</v>
      </c>
    </row>
    <row r="47" spans="1:7" s="138" customFormat="1" x14ac:dyDescent="0.2">
      <c r="A47" s="350"/>
      <c r="B47" s="184" t="s">
        <v>222</v>
      </c>
      <c r="C47" s="187">
        <f>'Use Allocation'!E23</f>
        <v>0</v>
      </c>
      <c r="D47" s="174" t="s">
        <v>53</v>
      </c>
    </row>
    <row r="48" spans="1:7" s="138" customFormat="1" x14ac:dyDescent="0.2">
      <c r="A48" s="350"/>
      <c r="B48" s="184" t="s">
        <v>223</v>
      </c>
      <c r="C48" s="187">
        <f>'Use Allocation'!E24</f>
        <v>1500</v>
      </c>
      <c r="D48" s="174" t="s">
        <v>53</v>
      </c>
    </row>
    <row r="49" spans="1:7" s="138" customFormat="1" x14ac:dyDescent="0.2">
      <c r="A49" s="350"/>
      <c r="B49" s="184" t="s">
        <v>224</v>
      </c>
      <c r="C49" s="187">
        <f>'Use Allocation'!E25</f>
        <v>0</v>
      </c>
      <c r="D49" s="174" t="s">
        <v>53</v>
      </c>
    </row>
    <row r="50" spans="1:7" s="138" customFormat="1" x14ac:dyDescent="0.2">
      <c r="A50" s="350"/>
      <c r="B50" s="184" t="s">
        <v>225</v>
      </c>
      <c r="C50" s="187">
        <f>'Use Allocation'!E26</f>
        <v>0</v>
      </c>
      <c r="D50" s="174" t="s">
        <v>53</v>
      </c>
    </row>
    <row r="51" spans="1:7" s="138" customFormat="1" x14ac:dyDescent="0.2">
      <c r="A51" s="350"/>
      <c r="B51" s="184" t="s">
        <v>226</v>
      </c>
      <c r="C51" s="187">
        <f>'Use Allocation'!E27</f>
        <v>0</v>
      </c>
      <c r="D51" s="174" t="s">
        <v>53</v>
      </c>
    </row>
    <row r="52" spans="1:7" s="138" customFormat="1" x14ac:dyDescent="0.2">
      <c r="A52" s="350"/>
      <c r="B52" s="184" t="s">
        <v>227</v>
      </c>
      <c r="C52" s="187">
        <f>'Use Allocation'!E28</f>
        <v>0</v>
      </c>
      <c r="D52" s="174" t="s">
        <v>53</v>
      </c>
    </row>
    <row r="53" spans="1:7" s="138" customFormat="1" x14ac:dyDescent="0.2">
      <c r="A53" s="350"/>
      <c r="B53" s="185" t="s">
        <v>228</v>
      </c>
      <c r="C53" s="188">
        <f>'Use Allocation'!E29</f>
        <v>0</v>
      </c>
      <c r="D53" s="174" t="s">
        <v>53</v>
      </c>
    </row>
    <row r="54" spans="1:7" s="138" customFormat="1" x14ac:dyDescent="0.2">
      <c r="A54" s="350"/>
      <c r="B54" s="182" t="s">
        <v>216</v>
      </c>
      <c r="C54" s="189">
        <f>Costs!C28</f>
        <v>0</v>
      </c>
      <c r="D54" s="174" t="s">
        <v>53</v>
      </c>
    </row>
    <row r="55" spans="1:7" s="138" customFormat="1" x14ac:dyDescent="0.2">
      <c r="A55" s="350"/>
      <c r="B55" s="190" t="s">
        <v>227</v>
      </c>
      <c r="C55" s="189">
        <f>'Use Allocation'!E35</f>
        <v>0</v>
      </c>
      <c r="D55" s="174" t="s">
        <v>53</v>
      </c>
    </row>
    <row r="56" spans="1:7" s="138" customFormat="1" x14ac:dyDescent="0.2">
      <c r="A56" s="350"/>
      <c r="B56" s="191" t="s">
        <v>228</v>
      </c>
      <c r="C56" s="192">
        <f>'Use Allocation'!E36</f>
        <v>0</v>
      </c>
      <c r="D56" s="174" t="s">
        <v>53</v>
      </c>
    </row>
    <row r="57" spans="1:7" s="138" customFormat="1" x14ac:dyDescent="0.2">
      <c r="A57" s="350"/>
      <c r="B57" s="152" t="s">
        <v>142</v>
      </c>
      <c r="C57" s="164">
        <f>SUM(C54,C40)</f>
        <v>1500</v>
      </c>
      <c r="D57" s="178" t="s">
        <v>53</v>
      </c>
    </row>
    <row r="58" spans="1:7" s="138" customFormat="1" x14ac:dyDescent="0.2">
      <c r="A58" s="350"/>
      <c r="B58" s="153"/>
      <c r="C58" s="168"/>
      <c r="D58" s="180"/>
      <c r="F58" s="144"/>
      <c r="G58" s="144"/>
    </row>
    <row r="59" spans="1:7" s="138" customFormat="1" x14ac:dyDescent="0.2">
      <c r="A59" s="350"/>
      <c r="B59" s="394" t="s">
        <v>46</v>
      </c>
      <c r="C59" s="166" t="s">
        <v>17</v>
      </c>
      <c r="D59" s="174" t="s">
        <v>53</v>
      </c>
      <c r="F59" s="144"/>
      <c r="G59" s="144"/>
    </row>
    <row r="60" spans="1:7" s="138" customFormat="1" x14ac:dyDescent="0.2">
      <c r="A60" s="350"/>
      <c r="B60" s="151" t="s">
        <v>47</v>
      </c>
      <c r="C60" s="163">
        <f>Costs!C30</f>
        <v>25000</v>
      </c>
      <c r="D60" s="174" t="s">
        <v>53</v>
      </c>
      <c r="F60" s="144"/>
      <c r="G60" s="144"/>
    </row>
    <row r="61" spans="1:7" s="138" customFormat="1" x14ac:dyDescent="0.2">
      <c r="A61" s="350"/>
      <c r="B61" s="151" t="s">
        <v>48</v>
      </c>
      <c r="C61" s="163">
        <f>Costs!C31</f>
        <v>10000</v>
      </c>
      <c r="D61" s="174" t="s">
        <v>53</v>
      </c>
      <c r="F61" s="144"/>
      <c r="G61" s="144"/>
    </row>
    <row r="62" spans="1:7" s="138" customFormat="1" x14ac:dyDescent="0.2">
      <c r="A62" s="350"/>
      <c r="B62" s="151" t="s">
        <v>49</v>
      </c>
      <c r="C62" s="163">
        <f>Costs!C32</f>
        <v>10000</v>
      </c>
      <c r="D62" s="174" t="s">
        <v>53</v>
      </c>
      <c r="F62" s="144"/>
      <c r="G62" s="144"/>
    </row>
    <row r="63" spans="1:7" s="138" customFormat="1" x14ac:dyDescent="0.2">
      <c r="A63" s="350"/>
      <c r="B63" s="152" t="s">
        <v>145</v>
      </c>
      <c r="C63" s="164">
        <f>SUM(C60:C62)</f>
        <v>45000</v>
      </c>
      <c r="D63" s="178" t="s">
        <v>53</v>
      </c>
      <c r="F63" s="144"/>
      <c r="G63" s="144"/>
    </row>
    <row r="64" spans="1:7" s="138" customFormat="1" x14ac:dyDescent="0.2">
      <c r="A64" s="350"/>
      <c r="B64" s="153"/>
      <c r="C64" s="171"/>
      <c r="D64" s="181"/>
    </row>
    <row r="65" spans="1:4" s="138" customFormat="1" x14ac:dyDescent="0.2">
      <c r="A65" s="350"/>
      <c r="B65" s="394" t="s">
        <v>50</v>
      </c>
      <c r="C65" s="166" t="s">
        <v>146</v>
      </c>
      <c r="D65" s="174"/>
    </row>
    <row r="66" spans="1:4" s="138" customFormat="1" x14ac:dyDescent="0.2">
      <c r="A66" s="350"/>
      <c r="B66" s="151" t="s">
        <v>231</v>
      </c>
      <c r="C66" s="163">
        <f>Costs!C36</f>
        <v>0</v>
      </c>
      <c r="D66" s="174"/>
    </row>
    <row r="67" spans="1:4" s="138" customFormat="1" x14ac:dyDescent="0.2">
      <c r="A67" s="350"/>
      <c r="B67" s="151" t="s">
        <v>235</v>
      </c>
      <c r="C67" s="163">
        <f>Costs!C37</f>
        <v>0</v>
      </c>
      <c r="D67" s="174"/>
    </row>
    <row r="68" spans="1:4" s="138" customFormat="1" x14ac:dyDescent="0.2">
      <c r="A68" s="350"/>
      <c r="B68" s="151" t="s">
        <v>229</v>
      </c>
      <c r="C68" s="163">
        <f>Costs!C38</f>
        <v>0</v>
      </c>
      <c r="D68" s="174"/>
    </row>
    <row r="69" spans="1:4" s="138" customFormat="1" x14ac:dyDescent="0.2">
      <c r="A69" s="350"/>
      <c r="B69" s="151" t="s">
        <v>230</v>
      </c>
      <c r="C69" s="163">
        <f>Costs!C39</f>
        <v>0</v>
      </c>
      <c r="D69" s="174"/>
    </row>
    <row r="70" spans="1:4" s="138" customFormat="1" x14ac:dyDescent="0.2">
      <c r="A70" s="350"/>
      <c r="B70" s="151" t="s">
        <v>236</v>
      </c>
      <c r="C70" s="163">
        <f>Costs!C40</f>
        <v>160</v>
      </c>
      <c r="D70" s="174"/>
    </row>
    <row r="71" spans="1:4" s="138" customFormat="1" x14ac:dyDescent="0.2">
      <c r="A71" s="350"/>
      <c r="B71" s="151" t="s">
        <v>237</v>
      </c>
      <c r="C71" s="163">
        <f>Costs!C41</f>
        <v>0</v>
      </c>
      <c r="D71" s="174"/>
    </row>
    <row r="72" spans="1:4" s="138" customFormat="1" x14ac:dyDescent="0.2">
      <c r="A72" s="350"/>
      <c r="B72" s="152" t="s">
        <v>147</v>
      </c>
      <c r="C72" s="164">
        <f>SUM(C66:C71)</f>
        <v>160</v>
      </c>
      <c r="D72" s="178" t="s">
        <v>53</v>
      </c>
    </row>
    <row r="73" spans="1:4" s="138" customFormat="1" x14ac:dyDescent="0.2">
      <c r="A73" s="350"/>
      <c r="B73" s="145"/>
      <c r="C73" s="145"/>
      <c r="D73" s="146"/>
    </row>
    <row r="74" spans="1:4" hidden="1" x14ac:dyDescent="0.2">
      <c r="A74" s="350"/>
    </row>
    <row r="75" spans="1:4" hidden="1" x14ac:dyDescent="0.2">
      <c r="A75" s="350"/>
    </row>
    <row r="76" spans="1:4" hidden="1" x14ac:dyDescent="0.2">
      <c r="A76" s="350"/>
    </row>
    <row r="77" spans="1:4" hidden="1" x14ac:dyDescent="0.2">
      <c r="A77" s="350"/>
    </row>
    <row r="78" spans="1:4" hidden="1" x14ac:dyDescent="0.2">
      <c r="A78" s="350"/>
    </row>
    <row r="79" spans="1:4" hidden="1" x14ac:dyDescent="0.2">
      <c r="A79" s="350"/>
    </row>
    <row r="80" spans="1:4" hidden="1" x14ac:dyDescent="0.2">
      <c r="A80" s="350"/>
    </row>
    <row r="81" spans="1:1" hidden="1" x14ac:dyDescent="0.2">
      <c r="A81" s="350"/>
    </row>
  </sheetData>
  <scenarios current="0">
    <scenario name="1" locked="1" count="1" user="bthornton" comment="Created by bthornton on 1/30/2013_x000a_Modified by bthornton on 1/30/2013">
      <inputCells r="F1" val="1"/>
    </scenario>
  </scenarios>
  <mergeCells count="1">
    <mergeCell ref="C3:D3"/>
  </mergeCells>
  <printOptions horizontalCentered="1"/>
  <pageMargins left="0.25" right="0.25" top="0.5" bottom="0.5" header="0.3" footer="0.3"/>
  <pageSetup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I184"/>
  <sheetViews>
    <sheetView showGridLines="0" zoomScaleNormal="100" zoomScaleSheetLayoutView="100" workbookViewId="0"/>
  </sheetViews>
  <sheetFormatPr defaultColWidth="0" defaultRowHeight="12.75" zeroHeight="1" x14ac:dyDescent="0.2"/>
  <cols>
    <col min="1" max="1" width="6.140625" style="565" bestFit="1" customWidth="1"/>
    <col min="2" max="2" width="60.85546875" style="92" customWidth="1"/>
    <col min="3" max="3" width="12" style="92" customWidth="1"/>
    <col min="4" max="9" width="5.7109375" style="92" customWidth="1"/>
    <col min="10" max="16384" width="9.140625" style="92" hidden="1"/>
  </cols>
  <sheetData>
    <row r="1" spans="1:3" customFormat="1" ht="6" customHeight="1" thickBot="1" x14ac:dyDescent="0.3">
      <c r="A1" s="555"/>
    </row>
    <row r="2" spans="1:3" ht="13.5" thickBot="1" x14ac:dyDescent="0.25">
      <c r="A2" s="556" t="s">
        <v>260</v>
      </c>
      <c r="B2" s="93" t="s">
        <v>5</v>
      </c>
      <c r="C2" s="554"/>
    </row>
    <row r="3" spans="1:3" x14ac:dyDescent="0.2">
      <c r="A3" s="558">
        <v>1</v>
      </c>
      <c r="B3" s="67" t="s">
        <v>16</v>
      </c>
      <c r="C3" s="96"/>
    </row>
    <row r="4" spans="1:3" ht="12.75" customHeight="1" x14ac:dyDescent="0.25">
      <c r="A4" s="559"/>
      <c r="B4" s="66" t="s">
        <v>20</v>
      </c>
      <c r="C4" s="552">
        <f>'Development by Block'!F4</f>
        <v>0</v>
      </c>
    </row>
    <row r="5" spans="1:3" ht="12.75" customHeight="1" x14ac:dyDescent="0.25">
      <c r="A5" s="559"/>
      <c r="B5" s="66" t="s">
        <v>21</v>
      </c>
      <c r="C5" s="552">
        <f>'Development by Block'!F5</f>
        <v>0</v>
      </c>
    </row>
    <row r="6" spans="1:3" ht="12.75" customHeight="1" x14ac:dyDescent="0.25">
      <c r="A6" s="559"/>
      <c r="B6" s="66" t="s">
        <v>22</v>
      </c>
      <c r="C6" s="552">
        <f>'Development by Block'!F6</f>
        <v>0</v>
      </c>
    </row>
    <row r="7" spans="1:3" ht="12.75" customHeight="1" x14ac:dyDescent="0.25">
      <c r="A7" s="559"/>
      <c r="B7" s="66" t="s">
        <v>24</v>
      </c>
      <c r="C7" s="552">
        <f>'Development by Block'!F7</f>
        <v>0</v>
      </c>
    </row>
    <row r="8" spans="1:3" ht="12.75" customHeight="1" x14ac:dyDescent="0.2">
      <c r="A8" s="559"/>
      <c r="B8" s="68" t="s">
        <v>26</v>
      </c>
      <c r="C8" s="567" t="s">
        <v>201</v>
      </c>
    </row>
    <row r="9" spans="1:3" ht="12.75" customHeight="1" x14ac:dyDescent="0.25">
      <c r="A9" s="559"/>
      <c r="B9" s="66" t="s">
        <v>203</v>
      </c>
      <c r="C9" s="552">
        <f>'Development by Block'!F9</f>
        <v>0</v>
      </c>
    </row>
    <row r="10" spans="1:3" ht="12.75" customHeight="1" x14ac:dyDescent="0.25">
      <c r="A10" s="559"/>
      <c r="B10" s="66" t="s">
        <v>204</v>
      </c>
      <c r="C10" s="552">
        <f>'Development by Block'!F10</f>
        <v>0</v>
      </c>
    </row>
    <row r="11" spans="1:3" ht="12.75" customHeight="1" x14ac:dyDescent="0.25">
      <c r="A11" s="559"/>
      <c r="B11" s="66" t="s">
        <v>33</v>
      </c>
      <c r="C11" s="552">
        <f>'Development by Block'!F11</f>
        <v>0</v>
      </c>
    </row>
    <row r="12" spans="1:3" ht="12.75" customHeight="1" x14ac:dyDescent="0.2">
      <c r="A12" s="559"/>
      <c r="B12" s="68" t="s">
        <v>35</v>
      </c>
      <c r="C12" s="567" t="s">
        <v>201</v>
      </c>
    </row>
    <row r="13" spans="1:3" ht="12.75" customHeight="1" x14ac:dyDescent="0.25">
      <c r="A13" s="559"/>
      <c r="B13" s="66" t="s">
        <v>37</v>
      </c>
      <c r="C13" s="552">
        <f>'Development by Block'!F13</f>
        <v>0</v>
      </c>
    </row>
    <row r="14" spans="1:3" ht="12.75" customHeight="1" x14ac:dyDescent="0.25">
      <c r="A14" s="559"/>
      <c r="B14" s="66" t="s">
        <v>39</v>
      </c>
      <c r="C14" s="552">
        <f>'Development by Block'!F14</f>
        <v>0</v>
      </c>
    </row>
    <row r="15" spans="1:3" ht="12.75" customHeight="1" x14ac:dyDescent="0.25">
      <c r="A15" s="559"/>
      <c r="B15" s="66" t="s">
        <v>40</v>
      </c>
      <c r="C15" s="552">
        <f>'Development by Block'!F15</f>
        <v>0</v>
      </c>
    </row>
    <row r="16" spans="1:3" ht="12.75" customHeight="1" x14ac:dyDescent="0.2">
      <c r="A16" s="559"/>
      <c r="B16" s="68" t="s">
        <v>41</v>
      </c>
      <c r="C16" s="567" t="s">
        <v>201</v>
      </c>
    </row>
    <row r="17" spans="1:3" ht="12.75" customHeight="1" x14ac:dyDescent="0.2">
      <c r="A17" s="559"/>
      <c r="B17" s="66" t="s">
        <v>43</v>
      </c>
      <c r="C17" s="568"/>
    </row>
    <row r="18" spans="1:3" ht="12.75" customHeight="1" x14ac:dyDescent="0.2">
      <c r="A18" s="559"/>
      <c r="B18" s="66" t="s">
        <v>44</v>
      </c>
      <c r="C18" s="568"/>
    </row>
    <row r="19" spans="1:3" ht="12.75" customHeight="1" x14ac:dyDescent="0.2">
      <c r="A19" s="559"/>
      <c r="B19" s="66" t="s">
        <v>45</v>
      </c>
      <c r="C19" s="568"/>
    </row>
    <row r="20" spans="1:3" ht="12.75" customHeight="1" x14ac:dyDescent="0.2">
      <c r="A20" s="559"/>
      <c r="B20" s="68" t="s">
        <v>46</v>
      </c>
      <c r="C20" s="567" t="s">
        <v>46</v>
      </c>
    </row>
    <row r="21" spans="1:3" ht="12.75" customHeight="1" x14ac:dyDescent="0.25">
      <c r="A21" s="559"/>
      <c r="B21" s="66" t="s">
        <v>47</v>
      </c>
      <c r="C21" s="552">
        <f>'Development by Block'!F21</f>
        <v>0</v>
      </c>
    </row>
    <row r="22" spans="1:3" ht="12.75" customHeight="1" x14ac:dyDescent="0.25">
      <c r="A22" s="559"/>
      <c r="B22" s="66" t="s">
        <v>48</v>
      </c>
      <c r="C22" s="552">
        <f>'Development by Block'!F22</f>
        <v>0</v>
      </c>
    </row>
    <row r="23" spans="1:3" ht="12.75" customHeight="1" thickBot="1" x14ac:dyDescent="0.3">
      <c r="A23" s="560"/>
      <c r="B23" s="548" t="s">
        <v>49</v>
      </c>
      <c r="C23" s="553">
        <f>'Development by Block'!F23</f>
        <v>0</v>
      </c>
    </row>
    <row r="24" spans="1:3" ht="13.5" thickBot="1" x14ac:dyDescent="0.25">
      <c r="A24" s="557"/>
      <c r="B24" s="72"/>
      <c r="C24" s="543"/>
    </row>
    <row r="25" spans="1:3" x14ac:dyDescent="0.2">
      <c r="A25" s="558">
        <v>2</v>
      </c>
      <c r="B25" s="69" t="s">
        <v>16</v>
      </c>
      <c r="C25" s="96"/>
    </row>
    <row r="26" spans="1:3" ht="12.75" customHeight="1" x14ac:dyDescent="0.25">
      <c r="A26" s="559"/>
      <c r="B26" s="70" t="s">
        <v>20</v>
      </c>
      <c r="C26" s="552">
        <f>'Development by Block'!J4</f>
        <v>0</v>
      </c>
    </row>
    <row r="27" spans="1:3" ht="12.75" customHeight="1" x14ac:dyDescent="0.25">
      <c r="A27" s="559"/>
      <c r="B27" s="70" t="s">
        <v>21</v>
      </c>
      <c r="C27" s="552">
        <f>'Development by Block'!J5</f>
        <v>0</v>
      </c>
    </row>
    <row r="28" spans="1:3" ht="12.75" customHeight="1" x14ac:dyDescent="0.25">
      <c r="A28" s="559"/>
      <c r="B28" s="70" t="s">
        <v>22</v>
      </c>
      <c r="C28" s="552">
        <f>'Development by Block'!J6</f>
        <v>0</v>
      </c>
    </row>
    <row r="29" spans="1:3" ht="12.75" customHeight="1" x14ac:dyDescent="0.25">
      <c r="A29" s="559"/>
      <c r="B29" s="70" t="s">
        <v>24</v>
      </c>
      <c r="C29" s="552">
        <f>'Development by Block'!J7</f>
        <v>0</v>
      </c>
    </row>
    <row r="30" spans="1:3" ht="12.75" customHeight="1" x14ac:dyDescent="0.2">
      <c r="A30" s="559"/>
      <c r="B30" s="71" t="s">
        <v>26</v>
      </c>
      <c r="C30" s="567" t="s">
        <v>201</v>
      </c>
    </row>
    <row r="31" spans="1:3" ht="12.75" customHeight="1" x14ac:dyDescent="0.25">
      <c r="A31" s="559"/>
      <c r="B31" s="70" t="s">
        <v>203</v>
      </c>
      <c r="C31" s="552">
        <f>'Development by Block'!J9</f>
        <v>0</v>
      </c>
    </row>
    <row r="32" spans="1:3" ht="12.75" customHeight="1" x14ac:dyDescent="0.25">
      <c r="A32" s="559"/>
      <c r="B32" s="70" t="s">
        <v>204</v>
      </c>
      <c r="C32" s="552">
        <f>'Development by Block'!J10</f>
        <v>0</v>
      </c>
    </row>
    <row r="33" spans="1:3" ht="12.75" customHeight="1" x14ac:dyDescent="0.25">
      <c r="A33" s="559"/>
      <c r="B33" s="70" t="s">
        <v>33</v>
      </c>
      <c r="C33" s="552">
        <f>'Development by Block'!J11</f>
        <v>0</v>
      </c>
    </row>
    <row r="34" spans="1:3" ht="12.75" customHeight="1" x14ac:dyDescent="0.2">
      <c r="A34" s="559"/>
      <c r="B34" s="71" t="s">
        <v>35</v>
      </c>
      <c r="C34" s="567" t="s">
        <v>201</v>
      </c>
    </row>
    <row r="35" spans="1:3" ht="12.75" customHeight="1" x14ac:dyDescent="0.25">
      <c r="A35" s="559"/>
      <c r="B35" s="70" t="s">
        <v>37</v>
      </c>
      <c r="C35" s="552">
        <f>'Development by Block'!J13</f>
        <v>0</v>
      </c>
    </row>
    <row r="36" spans="1:3" ht="12.75" customHeight="1" x14ac:dyDescent="0.25">
      <c r="A36" s="559"/>
      <c r="B36" s="70" t="s">
        <v>39</v>
      </c>
      <c r="C36" s="552">
        <f>'Development by Block'!J14</f>
        <v>0</v>
      </c>
    </row>
    <row r="37" spans="1:3" ht="12.75" customHeight="1" x14ac:dyDescent="0.25">
      <c r="A37" s="559"/>
      <c r="B37" s="70" t="s">
        <v>40</v>
      </c>
      <c r="C37" s="552">
        <f>'Development by Block'!J15</f>
        <v>0</v>
      </c>
    </row>
    <row r="38" spans="1:3" ht="12.75" customHeight="1" x14ac:dyDescent="0.2">
      <c r="A38" s="559"/>
      <c r="B38" s="71" t="s">
        <v>41</v>
      </c>
      <c r="C38" s="567" t="s">
        <v>201</v>
      </c>
    </row>
    <row r="39" spans="1:3" ht="12.75" customHeight="1" x14ac:dyDescent="0.25">
      <c r="A39" s="559"/>
      <c r="B39" s="70" t="s">
        <v>43</v>
      </c>
      <c r="C39" s="552">
        <f>'Development by Block'!J17</f>
        <v>0</v>
      </c>
    </row>
    <row r="40" spans="1:3" ht="12.75" customHeight="1" x14ac:dyDescent="0.2">
      <c r="A40" s="559"/>
      <c r="B40" s="70" t="s">
        <v>44</v>
      </c>
      <c r="C40" s="568"/>
    </row>
    <row r="41" spans="1:3" ht="12.75" customHeight="1" x14ac:dyDescent="0.2">
      <c r="A41" s="559"/>
      <c r="B41" s="70" t="s">
        <v>45</v>
      </c>
      <c r="C41" s="568"/>
    </row>
    <row r="42" spans="1:3" ht="12.75" customHeight="1" x14ac:dyDescent="0.2">
      <c r="A42" s="559"/>
      <c r="B42" s="71" t="s">
        <v>46</v>
      </c>
      <c r="C42" s="567" t="s">
        <v>46</v>
      </c>
    </row>
    <row r="43" spans="1:3" ht="12.75" customHeight="1" x14ac:dyDescent="0.25">
      <c r="A43" s="559"/>
      <c r="B43" s="70" t="s">
        <v>47</v>
      </c>
      <c r="C43" s="552">
        <f>'Development by Block'!J21</f>
        <v>0</v>
      </c>
    </row>
    <row r="44" spans="1:3" ht="12.75" customHeight="1" x14ac:dyDescent="0.25">
      <c r="A44" s="559"/>
      <c r="B44" s="70" t="s">
        <v>48</v>
      </c>
      <c r="C44" s="552">
        <f>'Development by Block'!J22</f>
        <v>0</v>
      </c>
    </row>
    <row r="45" spans="1:3" ht="12.75" customHeight="1" thickBot="1" x14ac:dyDescent="0.3">
      <c r="A45" s="560"/>
      <c r="B45" s="549" t="s">
        <v>49</v>
      </c>
      <c r="C45" s="553">
        <f>'Development by Block'!J23</f>
        <v>0</v>
      </c>
    </row>
    <row r="46" spans="1:3" ht="13.5" thickBot="1" x14ac:dyDescent="0.25">
      <c r="A46" s="557"/>
      <c r="B46" s="72"/>
      <c r="C46" s="543"/>
    </row>
    <row r="47" spans="1:3" x14ac:dyDescent="0.2">
      <c r="A47" s="558">
        <v>3</v>
      </c>
      <c r="B47" s="69" t="s">
        <v>16</v>
      </c>
      <c r="C47" s="96"/>
    </row>
    <row r="48" spans="1:3" ht="12.75" customHeight="1" x14ac:dyDescent="0.25">
      <c r="A48" s="559"/>
      <c r="B48" s="70" t="s">
        <v>20</v>
      </c>
      <c r="C48" s="552">
        <f>'Development by Block'!N4</f>
        <v>0</v>
      </c>
    </row>
    <row r="49" spans="1:3" ht="12.75" customHeight="1" x14ac:dyDescent="0.25">
      <c r="A49" s="559"/>
      <c r="B49" s="70" t="s">
        <v>21</v>
      </c>
      <c r="C49" s="552">
        <f>'Development by Block'!N5</f>
        <v>0</v>
      </c>
    </row>
    <row r="50" spans="1:3" ht="12.75" customHeight="1" x14ac:dyDescent="0.25">
      <c r="A50" s="559"/>
      <c r="B50" s="70" t="s">
        <v>22</v>
      </c>
      <c r="C50" s="552">
        <f>'Development by Block'!N6</f>
        <v>0</v>
      </c>
    </row>
    <row r="51" spans="1:3" ht="12.75" customHeight="1" x14ac:dyDescent="0.25">
      <c r="A51" s="559"/>
      <c r="B51" s="70" t="s">
        <v>24</v>
      </c>
      <c r="C51" s="552">
        <f>'Development by Block'!N7</f>
        <v>0</v>
      </c>
    </row>
    <row r="52" spans="1:3" ht="12.75" customHeight="1" x14ac:dyDescent="0.2">
      <c r="A52" s="559"/>
      <c r="B52" s="71" t="s">
        <v>26</v>
      </c>
      <c r="C52" s="567" t="s">
        <v>201</v>
      </c>
    </row>
    <row r="53" spans="1:3" ht="12.75" customHeight="1" x14ac:dyDescent="0.25">
      <c r="A53" s="559"/>
      <c r="B53" s="70" t="s">
        <v>203</v>
      </c>
      <c r="C53" s="552">
        <f>'Development by Block'!N9</f>
        <v>0</v>
      </c>
    </row>
    <row r="54" spans="1:3" ht="12.75" customHeight="1" x14ac:dyDescent="0.25">
      <c r="A54" s="559"/>
      <c r="B54" s="70" t="s">
        <v>204</v>
      </c>
      <c r="C54" s="552">
        <f>'Development by Block'!N10</f>
        <v>0</v>
      </c>
    </row>
    <row r="55" spans="1:3" ht="12.75" customHeight="1" x14ac:dyDescent="0.25">
      <c r="A55" s="559"/>
      <c r="B55" s="70" t="s">
        <v>33</v>
      </c>
      <c r="C55" s="552">
        <f>'Development by Block'!N11</f>
        <v>0</v>
      </c>
    </row>
    <row r="56" spans="1:3" ht="12.75" customHeight="1" x14ac:dyDescent="0.2">
      <c r="A56" s="559"/>
      <c r="B56" s="71" t="s">
        <v>35</v>
      </c>
      <c r="C56" s="567" t="s">
        <v>201</v>
      </c>
    </row>
    <row r="57" spans="1:3" ht="12.75" customHeight="1" x14ac:dyDescent="0.25">
      <c r="A57" s="559"/>
      <c r="B57" s="70" t="s">
        <v>37</v>
      </c>
      <c r="C57" s="552">
        <f>'Development by Block'!N13</f>
        <v>0</v>
      </c>
    </row>
    <row r="58" spans="1:3" ht="12.75" customHeight="1" x14ac:dyDescent="0.25">
      <c r="A58" s="559"/>
      <c r="B58" s="70" t="s">
        <v>39</v>
      </c>
      <c r="C58" s="552">
        <f>'Development by Block'!N14</f>
        <v>1</v>
      </c>
    </row>
    <row r="59" spans="1:3" ht="12.75" customHeight="1" x14ac:dyDescent="0.2">
      <c r="A59" s="559"/>
      <c r="B59" s="70" t="s">
        <v>40</v>
      </c>
      <c r="C59" s="568"/>
    </row>
    <row r="60" spans="1:3" ht="12.75" customHeight="1" x14ac:dyDescent="0.2">
      <c r="A60" s="559"/>
      <c r="B60" s="71" t="s">
        <v>41</v>
      </c>
      <c r="C60" s="567" t="s">
        <v>201</v>
      </c>
    </row>
    <row r="61" spans="1:3" ht="12.75" customHeight="1" x14ac:dyDescent="0.2">
      <c r="A61" s="559"/>
      <c r="B61" s="70" t="s">
        <v>43</v>
      </c>
      <c r="C61" s="568"/>
    </row>
    <row r="62" spans="1:3" ht="12.75" customHeight="1" x14ac:dyDescent="0.2">
      <c r="A62" s="559"/>
      <c r="B62" s="70" t="s">
        <v>44</v>
      </c>
      <c r="C62" s="568">
        <v>1</v>
      </c>
    </row>
    <row r="63" spans="1:3" ht="12.75" customHeight="1" x14ac:dyDescent="0.2">
      <c r="A63" s="559"/>
      <c r="B63" s="70" t="s">
        <v>45</v>
      </c>
      <c r="C63" s="568"/>
    </row>
    <row r="64" spans="1:3" ht="12.75" customHeight="1" x14ac:dyDescent="0.2">
      <c r="A64" s="559"/>
      <c r="B64" s="71" t="s">
        <v>46</v>
      </c>
      <c r="C64" s="567" t="s">
        <v>46</v>
      </c>
    </row>
    <row r="65" spans="1:3" ht="12.75" customHeight="1" x14ac:dyDescent="0.25">
      <c r="A65" s="559"/>
      <c r="B65" s="70" t="s">
        <v>47</v>
      </c>
      <c r="C65" s="552">
        <f>'Development by Block'!N21</f>
        <v>1</v>
      </c>
    </row>
    <row r="66" spans="1:3" ht="12.75" customHeight="1" x14ac:dyDescent="0.25">
      <c r="A66" s="559"/>
      <c r="B66" s="70" t="s">
        <v>48</v>
      </c>
      <c r="C66" s="552">
        <f>'Development by Block'!N22</f>
        <v>0</v>
      </c>
    </row>
    <row r="67" spans="1:3" ht="12.75" customHeight="1" thickBot="1" x14ac:dyDescent="0.3">
      <c r="A67" s="560"/>
      <c r="B67" s="549" t="s">
        <v>49</v>
      </c>
      <c r="C67" s="553">
        <f>'Development by Block'!N23</f>
        <v>0</v>
      </c>
    </row>
    <row r="68" spans="1:3" ht="13.5" thickBot="1" x14ac:dyDescent="0.25">
      <c r="A68" s="561"/>
      <c r="B68" s="95"/>
      <c r="C68" s="95"/>
    </row>
    <row r="69" spans="1:3" x14ac:dyDescent="0.2">
      <c r="A69" s="558">
        <v>4</v>
      </c>
      <c r="B69" s="69" t="s">
        <v>16</v>
      </c>
      <c r="C69" s="96"/>
    </row>
    <row r="70" spans="1:3" ht="12.75" customHeight="1" x14ac:dyDescent="0.25">
      <c r="A70" s="559"/>
      <c r="B70" s="70" t="s">
        <v>20</v>
      </c>
      <c r="C70" s="552">
        <f>'Development by Block'!R4</f>
        <v>0</v>
      </c>
    </row>
    <row r="71" spans="1:3" ht="12.75" customHeight="1" x14ac:dyDescent="0.25">
      <c r="A71" s="559"/>
      <c r="B71" s="70" t="s">
        <v>21</v>
      </c>
      <c r="C71" s="552">
        <f>'Development by Block'!R5</f>
        <v>0</v>
      </c>
    </row>
    <row r="72" spans="1:3" ht="12.75" customHeight="1" x14ac:dyDescent="0.25">
      <c r="A72" s="559"/>
      <c r="B72" s="70" t="s">
        <v>22</v>
      </c>
      <c r="C72" s="552">
        <f>'Development by Block'!R6</f>
        <v>0</v>
      </c>
    </row>
    <row r="73" spans="1:3" ht="12.75" customHeight="1" x14ac:dyDescent="0.25">
      <c r="A73" s="559"/>
      <c r="B73" s="70" t="s">
        <v>24</v>
      </c>
      <c r="C73" s="552">
        <f>'Development by Block'!R7</f>
        <v>0</v>
      </c>
    </row>
    <row r="74" spans="1:3" ht="12.75" customHeight="1" x14ac:dyDescent="0.2">
      <c r="A74" s="559"/>
      <c r="B74" s="71" t="s">
        <v>26</v>
      </c>
      <c r="C74" s="567" t="s">
        <v>201</v>
      </c>
    </row>
    <row r="75" spans="1:3" ht="12.75" customHeight="1" x14ac:dyDescent="0.25">
      <c r="A75" s="559"/>
      <c r="B75" s="70" t="s">
        <v>203</v>
      </c>
      <c r="C75" s="552">
        <f>'Development by Block'!R9</f>
        <v>0</v>
      </c>
    </row>
    <row r="76" spans="1:3" ht="12.75" customHeight="1" x14ac:dyDescent="0.25">
      <c r="A76" s="559"/>
      <c r="B76" s="70" t="s">
        <v>204</v>
      </c>
      <c r="C76" s="552">
        <f>'Development by Block'!R10</f>
        <v>0</v>
      </c>
    </row>
    <row r="77" spans="1:3" ht="12.75" customHeight="1" x14ac:dyDescent="0.25">
      <c r="A77" s="559"/>
      <c r="B77" s="70" t="s">
        <v>33</v>
      </c>
      <c r="C77" s="552">
        <f>'Development by Block'!R11</f>
        <v>0</v>
      </c>
    </row>
    <row r="78" spans="1:3" ht="12.75" customHeight="1" x14ac:dyDescent="0.2">
      <c r="A78" s="559"/>
      <c r="B78" s="71" t="s">
        <v>35</v>
      </c>
      <c r="C78" s="567" t="s">
        <v>201</v>
      </c>
    </row>
    <row r="79" spans="1:3" ht="12.75" customHeight="1" x14ac:dyDescent="0.25">
      <c r="A79" s="559"/>
      <c r="B79" s="70" t="s">
        <v>37</v>
      </c>
      <c r="C79" s="552">
        <f>'Development by Block'!R13</f>
        <v>0</v>
      </c>
    </row>
    <row r="80" spans="1:3" ht="12.75" customHeight="1" x14ac:dyDescent="0.25">
      <c r="A80" s="559"/>
      <c r="B80" s="70" t="s">
        <v>39</v>
      </c>
      <c r="C80" s="552">
        <f>'Development by Block'!R14</f>
        <v>0</v>
      </c>
    </row>
    <row r="81" spans="1:3" ht="12.75" customHeight="1" x14ac:dyDescent="0.2">
      <c r="A81" s="559"/>
      <c r="B81" s="70" t="s">
        <v>40</v>
      </c>
      <c r="C81" s="568"/>
    </row>
    <row r="82" spans="1:3" ht="12.75" customHeight="1" x14ac:dyDescent="0.2">
      <c r="A82" s="559"/>
      <c r="B82" s="71" t="s">
        <v>41</v>
      </c>
      <c r="C82" s="567" t="s">
        <v>201</v>
      </c>
    </row>
    <row r="83" spans="1:3" ht="12.75" customHeight="1" x14ac:dyDescent="0.2">
      <c r="A83" s="559"/>
      <c r="B83" s="70" t="s">
        <v>43</v>
      </c>
      <c r="C83" s="568"/>
    </row>
    <row r="84" spans="1:3" ht="12.75" customHeight="1" x14ac:dyDescent="0.2">
      <c r="A84" s="559"/>
      <c r="B84" s="70" t="s">
        <v>44</v>
      </c>
      <c r="C84" s="568"/>
    </row>
    <row r="85" spans="1:3" ht="12.75" customHeight="1" x14ac:dyDescent="0.25">
      <c r="A85" s="559"/>
      <c r="B85" s="70" t="s">
        <v>45</v>
      </c>
      <c r="C85" s="552">
        <f>'Development by Block'!R19</f>
        <v>1</v>
      </c>
    </row>
    <row r="86" spans="1:3" ht="12.75" customHeight="1" x14ac:dyDescent="0.2">
      <c r="A86" s="559"/>
      <c r="B86" s="71" t="s">
        <v>46</v>
      </c>
      <c r="C86" s="567" t="s">
        <v>46</v>
      </c>
    </row>
    <row r="87" spans="1:3" ht="12.75" customHeight="1" x14ac:dyDescent="0.25">
      <c r="A87" s="559"/>
      <c r="B87" s="70" t="s">
        <v>47</v>
      </c>
      <c r="C87" s="552">
        <f>'Development by Block'!R21</f>
        <v>4</v>
      </c>
    </row>
    <row r="88" spans="1:3" ht="12.75" customHeight="1" x14ac:dyDescent="0.25">
      <c r="A88" s="559"/>
      <c r="B88" s="70" t="s">
        <v>48</v>
      </c>
      <c r="C88" s="552">
        <f>'Development by Block'!R22</f>
        <v>2</v>
      </c>
    </row>
    <row r="89" spans="1:3" ht="12.75" customHeight="1" thickBot="1" x14ac:dyDescent="0.3">
      <c r="A89" s="560"/>
      <c r="B89" s="549" t="s">
        <v>49</v>
      </c>
      <c r="C89" s="553">
        <f>'Development by Block'!R23</f>
        <v>2</v>
      </c>
    </row>
    <row r="90" spans="1:3" ht="13.5" thickBot="1" x14ac:dyDescent="0.25">
      <c r="A90" s="562"/>
      <c r="B90" s="95"/>
      <c r="C90" s="95"/>
    </row>
    <row r="91" spans="1:3" x14ac:dyDescent="0.2">
      <c r="A91" s="558">
        <v>5</v>
      </c>
      <c r="B91" s="69" t="s">
        <v>16</v>
      </c>
      <c r="C91" s="96"/>
    </row>
    <row r="92" spans="1:3" ht="12.75" customHeight="1" x14ac:dyDescent="0.25">
      <c r="A92" s="559"/>
      <c r="B92" s="70" t="s">
        <v>20</v>
      </c>
      <c r="C92" s="552">
        <f>'Development by Block'!V4</f>
        <v>0</v>
      </c>
    </row>
    <row r="93" spans="1:3" ht="12.75" customHeight="1" x14ac:dyDescent="0.25">
      <c r="A93" s="559"/>
      <c r="B93" s="70" t="s">
        <v>21</v>
      </c>
      <c r="C93" s="552">
        <f>'Development by Block'!V5</f>
        <v>0</v>
      </c>
    </row>
    <row r="94" spans="1:3" ht="12.75" customHeight="1" x14ac:dyDescent="0.25">
      <c r="A94" s="559"/>
      <c r="B94" s="70" t="s">
        <v>22</v>
      </c>
      <c r="C94" s="552">
        <f>'Development by Block'!V6</f>
        <v>0</v>
      </c>
    </row>
    <row r="95" spans="1:3" ht="12.75" customHeight="1" x14ac:dyDescent="0.25">
      <c r="A95" s="559"/>
      <c r="B95" s="70" t="s">
        <v>24</v>
      </c>
      <c r="C95" s="552">
        <f>'Development by Block'!V7</f>
        <v>0</v>
      </c>
    </row>
    <row r="96" spans="1:3" ht="12.75" customHeight="1" x14ac:dyDescent="0.2">
      <c r="A96" s="559"/>
      <c r="B96" s="71" t="s">
        <v>26</v>
      </c>
      <c r="C96" s="567" t="s">
        <v>201</v>
      </c>
    </row>
    <row r="97" spans="1:3" ht="12.75" customHeight="1" x14ac:dyDescent="0.25">
      <c r="A97" s="559"/>
      <c r="B97" s="70" t="s">
        <v>203</v>
      </c>
      <c r="C97" s="552">
        <f>'Development by Block'!V9</f>
        <v>0</v>
      </c>
    </row>
    <row r="98" spans="1:3" ht="12.75" customHeight="1" x14ac:dyDescent="0.25">
      <c r="A98" s="559"/>
      <c r="B98" s="70" t="s">
        <v>204</v>
      </c>
      <c r="C98" s="552">
        <f>'Development by Block'!V10</f>
        <v>0</v>
      </c>
    </row>
    <row r="99" spans="1:3" ht="12.75" customHeight="1" x14ac:dyDescent="0.25">
      <c r="A99" s="559"/>
      <c r="B99" s="70" t="s">
        <v>33</v>
      </c>
      <c r="C99" s="552">
        <f>'Development by Block'!V11</f>
        <v>0</v>
      </c>
    </row>
    <row r="100" spans="1:3" ht="12.75" customHeight="1" x14ac:dyDescent="0.2">
      <c r="A100" s="559"/>
      <c r="B100" s="71" t="s">
        <v>35</v>
      </c>
      <c r="C100" s="567" t="s">
        <v>201</v>
      </c>
    </row>
    <row r="101" spans="1:3" ht="12.75" customHeight="1" x14ac:dyDescent="0.25">
      <c r="A101" s="559"/>
      <c r="B101" s="70" t="s">
        <v>37</v>
      </c>
      <c r="C101" s="552">
        <f>'Development by Block'!V13</f>
        <v>0</v>
      </c>
    </row>
    <row r="102" spans="1:3" ht="12.75" customHeight="1" x14ac:dyDescent="0.25">
      <c r="A102" s="559"/>
      <c r="B102" s="70" t="s">
        <v>39</v>
      </c>
      <c r="C102" s="552">
        <f>'Development by Block'!V14</f>
        <v>0</v>
      </c>
    </row>
    <row r="103" spans="1:3" ht="12.75" customHeight="1" x14ac:dyDescent="0.2">
      <c r="A103" s="559"/>
      <c r="B103" s="70" t="s">
        <v>40</v>
      </c>
      <c r="C103" s="568"/>
    </row>
    <row r="104" spans="1:3" ht="12.75" customHeight="1" x14ac:dyDescent="0.2">
      <c r="A104" s="559"/>
      <c r="B104" s="71" t="s">
        <v>41</v>
      </c>
      <c r="C104" s="567" t="s">
        <v>201</v>
      </c>
    </row>
    <row r="105" spans="1:3" ht="12.75" customHeight="1" x14ac:dyDescent="0.2">
      <c r="A105" s="559"/>
      <c r="B105" s="70" t="s">
        <v>43</v>
      </c>
      <c r="C105" s="568"/>
    </row>
    <row r="106" spans="1:3" ht="12.75" customHeight="1" x14ac:dyDescent="0.2">
      <c r="A106" s="559"/>
      <c r="B106" s="70" t="s">
        <v>44</v>
      </c>
      <c r="C106" s="568"/>
    </row>
    <row r="107" spans="1:3" ht="12.75" customHeight="1" x14ac:dyDescent="0.2">
      <c r="A107" s="559"/>
      <c r="B107" s="70" t="s">
        <v>45</v>
      </c>
      <c r="C107" s="568"/>
    </row>
    <row r="108" spans="1:3" ht="12.75" customHeight="1" x14ac:dyDescent="0.2">
      <c r="A108" s="559"/>
      <c r="B108" s="71" t="s">
        <v>46</v>
      </c>
      <c r="C108" s="567" t="s">
        <v>46</v>
      </c>
    </row>
    <row r="109" spans="1:3" ht="12.75" customHeight="1" x14ac:dyDescent="0.25">
      <c r="A109" s="559"/>
      <c r="B109" s="70" t="s">
        <v>47</v>
      </c>
      <c r="C109" s="552">
        <f>'Development by Block'!V21</f>
        <v>0</v>
      </c>
    </row>
    <row r="110" spans="1:3" ht="12.75" customHeight="1" x14ac:dyDescent="0.25">
      <c r="A110" s="559"/>
      <c r="B110" s="70" t="s">
        <v>48</v>
      </c>
      <c r="C110" s="552">
        <f>'Development by Block'!V22</f>
        <v>0</v>
      </c>
    </row>
    <row r="111" spans="1:3" ht="12.75" customHeight="1" thickBot="1" x14ac:dyDescent="0.3">
      <c r="A111" s="560"/>
      <c r="B111" s="549" t="s">
        <v>49</v>
      </c>
      <c r="C111" s="553">
        <f>'Development by Block'!V23</f>
        <v>0</v>
      </c>
    </row>
    <row r="112" spans="1:3" ht="13.5" thickBot="1" x14ac:dyDescent="0.25">
      <c r="A112" s="562"/>
      <c r="B112" s="95"/>
      <c r="C112" s="95"/>
    </row>
    <row r="113" spans="1:3" x14ac:dyDescent="0.2">
      <c r="A113" s="558">
        <v>6</v>
      </c>
      <c r="B113" s="69" t="s">
        <v>16</v>
      </c>
      <c r="C113" s="96"/>
    </row>
    <row r="114" spans="1:3" ht="12.75" customHeight="1" x14ac:dyDescent="0.25">
      <c r="A114" s="559"/>
      <c r="B114" s="70" t="s">
        <v>20</v>
      </c>
      <c r="C114" s="552">
        <f>'Development by Block'!Z4</f>
        <v>0</v>
      </c>
    </row>
    <row r="115" spans="1:3" ht="12.75" customHeight="1" x14ac:dyDescent="0.25">
      <c r="A115" s="559"/>
      <c r="B115" s="70" t="s">
        <v>21</v>
      </c>
      <c r="C115" s="552">
        <f>'Development by Block'!Z5</f>
        <v>0</v>
      </c>
    </row>
    <row r="116" spans="1:3" ht="12.75" customHeight="1" x14ac:dyDescent="0.25">
      <c r="A116" s="559"/>
      <c r="B116" s="70" t="s">
        <v>22</v>
      </c>
      <c r="C116" s="552">
        <f>'Development by Block'!Z6</f>
        <v>0</v>
      </c>
    </row>
    <row r="117" spans="1:3" ht="12.75" customHeight="1" x14ac:dyDescent="0.25">
      <c r="A117" s="559"/>
      <c r="B117" s="70" t="s">
        <v>24</v>
      </c>
      <c r="C117" s="552">
        <f>'Development by Block'!Z7</f>
        <v>0</v>
      </c>
    </row>
    <row r="118" spans="1:3" ht="12.75" customHeight="1" x14ac:dyDescent="0.2">
      <c r="A118" s="559"/>
      <c r="B118" s="71" t="s">
        <v>26</v>
      </c>
      <c r="C118" s="567" t="s">
        <v>201</v>
      </c>
    </row>
    <row r="119" spans="1:3" ht="12.75" customHeight="1" x14ac:dyDescent="0.25">
      <c r="A119" s="559"/>
      <c r="B119" s="70" t="s">
        <v>203</v>
      </c>
      <c r="C119" s="552">
        <f>'Development by Block'!Z9</f>
        <v>0</v>
      </c>
    </row>
    <row r="120" spans="1:3" ht="12.75" customHeight="1" x14ac:dyDescent="0.25">
      <c r="A120" s="559"/>
      <c r="B120" s="70" t="s">
        <v>204</v>
      </c>
      <c r="C120" s="552">
        <f>'Development by Block'!Z10</f>
        <v>0</v>
      </c>
    </row>
    <row r="121" spans="1:3" ht="12.75" customHeight="1" x14ac:dyDescent="0.25">
      <c r="A121" s="559"/>
      <c r="B121" s="70" t="s">
        <v>33</v>
      </c>
      <c r="C121" s="552">
        <f>'Development by Block'!Z11</f>
        <v>0</v>
      </c>
    </row>
    <row r="122" spans="1:3" ht="12.75" customHeight="1" x14ac:dyDescent="0.2">
      <c r="A122" s="559"/>
      <c r="B122" s="71" t="s">
        <v>35</v>
      </c>
      <c r="C122" s="567" t="s">
        <v>201</v>
      </c>
    </row>
    <row r="123" spans="1:3" ht="12.75" customHeight="1" x14ac:dyDescent="0.25">
      <c r="A123" s="559"/>
      <c r="B123" s="70" t="s">
        <v>37</v>
      </c>
      <c r="C123" s="552">
        <f>'Development by Block'!Z13</f>
        <v>0</v>
      </c>
    </row>
    <row r="124" spans="1:3" ht="12.75" customHeight="1" x14ac:dyDescent="0.25">
      <c r="A124" s="559"/>
      <c r="B124" s="70" t="s">
        <v>39</v>
      </c>
      <c r="C124" s="552">
        <f>'Development by Block'!Z14</f>
        <v>0</v>
      </c>
    </row>
    <row r="125" spans="1:3" ht="12.75" customHeight="1" x14ac:dyDescent="0.2">
      <c r="A125" s="559"/>
      <c r="B125" s="70" t="s">
        <v>40</v>
      </c>
      <c r="C125" s="568"/>
    </row>
    <row r="126" spans="1:3" ht="12.75" customHeight="1" x14ac:dyDescent="0.2">
      <c r="A126" s="559"/>
      <c r="B126" s="71" t="s">
        <v>41</v>
      </c>
      <c r="C126" s="567" t="s">
        <v>201</v>
      </c>
    </row>
    <row r="127" spans="1:3" ht="12.75" customHeight="1" x14ac:dyDescent="0.2">
      <c r="A127" s="559"/>
      <c r="B127" s="70" t="s">
        <v>43</v>
      </c>
      <c r="C127" s="568"/>
    </row>
    <row r="128" spans="1:3" ht="12.75" customHeight="1" x14ac:dyDescent="0.2">
      <c r="A128" s="559"/>
      <c r="B128" s="70" t="s">
        <v>44</v>
      </c>
      <c r="C128" s="568"/>
    </row>
    <row r="129" spans="1:3" ht="12.75" customHeight="1" x14ac:dyDescent="0.2">
      <c r="A129" s="559"/>
      <c r="B129" s="70" t="s">
        <v>45</v>
      </c>
      <c r="C129" s="568"/>
    </row>
    <row r="130" spans="1:3" ht="12.75" customHeight="1" x14ac:dyDescent="0.2">
      <c r="A130" s="559"/>
      <c r="B130" s="71" t="s">
        <v>46</v>
      </c>
      <c r="C130" s="567" t="s">
        <v>46</v>
      </c>
    </row>
    <row r="131" spans="1:3" ht="12.75" customHeight="1" x14ac:dyDescent="0.25">
      <c r="A131" s="559"/>
      <c r="B131" s="70" t="s">
        <v>47</v>
      </c>
      <c r="C131" s="552">
        <f>'Development by Block'!Z21</f>
        <v>0</v>
      </c>
    </row>
    <row r="132" spans="1:3" ht="12.75" customHeight="1" x14ac:dyDescent="0.25">
      <c r="A132" s="559"/>
      <c r="B132" s="70" t="s">
        <v>48</v>
      </c>
      <c r="C132" s="552">
        <f>'Development by Block'!Z22</f>
        <v>0</v>
      </c>
    </row>
    <row r="133" spans="1:3" ht="12.75" customHeight="1" thickBot="1" x14ac:dyDescent="0.3">
      <c r="A133" s="560"/>
      <c r="B133" s="549" t="s">
        <v>49</v>
      </c>
      <c r="C133" s="553">
        <f>'Development by Block'!Z23</f>
        <v>0</v>
      </c>
    </row>
    <row r="134" spans="1:3" ht="13.5" thickBot="1" x14ac:dyDescent="0.25">
      <c r="A134" s="561"/>
    </row>
    <row r="135" spans="1:3" x14ac:dyDescent="0.2">
      <c r="A135" s="563"/>
      <c r="B135" s="97" t="s">
        <v>213</v>
      </c>
      <c r="C135" s="551"/>
    </row>
    <row r="136" spans="1:3" x14ac:dyDescent="0.2">
      <c r="A136" s="563"/>
      <c r="B136" s="550" t="s">
        <v>16</v>
      </c>
      <c r="C136" s="547"/>
    </row>
    <row r="137" spans="1:3" ht="15" x14ac:dyDescent="0.25">
      <c r="A137" s="563"/>
      <c r="B137" s="34" t="s">
        <v>173</v>
      </c>
      <c r="C137" s="566">
        <f>'Use Allocation'!D7</f>
        <v>0.1</v>
      </c>
    </row>
    <row r="138" spans="1:3" ht="15" x14ac:dyDescent="0.25">
      <c r="A138" s="563"/>
      <c r="B138" s="34" t="s">
        <v>174</v>
      </c>
      <c r="C138" s="566">
        <f>'Use Allocation'!D8</f>
        <v>0.05</v>
      </c>
    </row>
    <row r="139" spans="1:3" x14ac:dyDescent="0.2">
      <c r="A139" s="563"/>
      <c r="B139" s="98"/>
      <c r="C139" s="99"/>
    </row>
    <row r="140" spans="1:3" x14ac:dyDescent="0.2">
      <c r="A140" s="563"/>
      <c r="B140" s="100"/>
      <c r="C140" s="94"/>
    </row>
    <row r="141" spans="1:3" x14ac:dyDescent="0.2">
      <c r="A141" s="563"/>
      <c r="B141" s="65" t="s">
        <v>209</v>
      </c>
      <c r="C141" s="94"/>
    </row>
    <row r="142" spans="1:3" x14ac:dyDescent="0.2">
      <c r="A142" s="563"/>
      <c r="B142" s="63" t="s">
        <v>208</v>
      </c>
      <c r="C142" s="101"/>
    </row>
    <row r="143" spans="1:3" ht="15" x14ac:dyDescent="0.25">
      <c r="A143" s="563"/>
      <c r="B143" s="62" t="s">
        <v>26</v>
      </c>
      <c r="C143" s="552">
        <f>'Use Allocation'!C13</f>
        <v>0</v>
      </c>
    </row>
    <row r="144" spans="1:3" ht="15" x14ac:dyDescent="0.25">
      <c r="A144" s="563"/>
      <c r="B144" s="62" t="s">
        <v>35</v>
      </c>
      <c r="C144" s="552">
        <f>'Use Allocation'!D13</f>
        <v>0</v>
      </c>
    </row>
    <row r="145" spans="1:3" x14ac:dyDescent="0.2">
      <c r="A145" s="563"/>
      <c r="B145" s="102" t="s">
        <v>188</v>
      </c>
      <c r="C145" s="101"/>
    </row>
    <row r="146" spans="1:3" x14ac:dyDescent="0.2">
      <c r="A146" s="563"/>
      <c r="B146" s="100"/>
      <c r="C146" s="94"/>
    </row>
    <row r="147" spans="1:3" x14ac:dyDescent="0.2">
      <c r="A147" s="563"/>
      <c r="B147" s="64" t="s">
        <v>210</v>
      </c>
      <c r="C147" s="101"/>
    </row>
    <row r="148" spans="1:3" ht="15" x14ac:dyDescent="0.25">
      <c r="A148" s="563"/>
      <c r="B148" s="61" t="s">
        <v>158</v>
      </c>
      <c r="C148" s="552">
        <f>'Use Allocation'!D16</f>
        <v>0</v>
      </c>
    </row>
    <row r="149" spans="1:3" ht="15" x14ac:dyDescent="0.25">
      <c r="A149" s="563"/>
      <c r="B149" s="34" t="s">
        <v>250</v>
      </c>
      <c r="C149" s="552">
        <f>'Use Allocation'!D17</f>
        <v>0</v>
      </c>
    </row>
    <row r="150" spans="1:3" ht="15" x14ac:dyDescent="0.25">
      <c r="A150" s="563"/>
      <c r="B150" s="34" t="s">
        <v>178</v>
      </c>
      <c r="C150" s="552">
        <f>'Use Allocation'!D18</f>
        <v>0</v>
      </c>
    </row>
    <row r="151" spans="1:3" ht="15" x14ac:dyDescent="0.25">
      <c r="A151" s="563"/>
      <c r="B151" s="34" t="s">
        <v>183</v>
      </c>
      <c r="C151" s="552">
        <f>'Use Allocation'!D19</f>
        <v>0</v>
      </c>
    </row>
    <row r="152" spans="1:3" ht="15" x14ac:dyDescent="0.25">
      <c r="A152" s="563"/>
      <c r="B152" s="34" t="s">
        <v>184</v>
      </c>
      <c r="C152" s="552">
        <f>'Use Allocation'!D20</f>
        <v>0</v>
      </c>
    </row>
    <row r="153" spans="1:3" ht="15" x14ac:dyDescent="0.25">
      <c r="A153" s="563"/>
      <c r="B153" s="34" t="s">
        <v>163</v>
      </c>
      <c r="C153" s="552">
        <f>'Use Allocation'!D21</f>
        <v>0</v>
      </c>
    </row>
    <row r="154" spans="1:3" ht="15" x14ac:dyDescent="0.25">
      <c r="A154" s="563"/>
      <c r="B154" s="34" t="s">
        <v>164</v>
      </c>
      <c r="C154" s="552">
        <f>'Use Allocation'!D22</f>
        <v>0</v>
      </c>
    </row>
    <row r="155" spans="1:3" ht="15" x14ac:dyDescent="0.25">
      <c r="A155" s="563"/>
      <c r="B155" s="34" t="s">
        <v>165</v>
      </c>
      <c r="C155" s="552">
        <f>'Use Allocation'!D23</f>
        <v>0</v>
      </c>
    </row>
    <row r="156" spans="1:3" ht="15" x14ac:dyDescent="0.25">
      <c r="A156" s="563"/>
      <c r="B156" s="34" t="s">
        <v>166</v>
      </c>
      <c r="C156" s="552">
        <f>'Use Allocation'!D24</f>
        <v>0</v>
      </c>
    </row>
    <row r="157" spans="1:3" ht="15" x14ac:dyDescent="0.25">
      <c r="A157" s="563"/>
      <c r="B157" s="34" t="s">
        <v>167</v>
      </c>
      <c r="C157" s="552">
        <f>'Use Allocation'!D25</f>
        <v>0</v>
      </c>
    </row>
    <row r="158" spans="1:3" ht="15" x14ac:dyDescent="0.25">
      <c r="A158" s="563"/>
      <c r="B158" s="34" t="s">
        <v>168</v>
      </c>
      <c r="C158" s="552">
        <f>'Use Allocation'!D26</f>
        <v>0</v>
      </c>
    </row>
    <row r="159" spans="1:3" ht="15" x14ac:dyDescent="0.25">
      <c r="A159" s="563"/>
      <c r="B159" s="34" t="s">
        <v>182</v>
      </c>
      <c r="C159" s="552">
        <f>'Use Allocation'!D27</f>
        <v>0</v>
      </c>
    </row>
    <row r="160" spans="1:3" ht="15" x14ac:dyDescent="0.25">
      <c r="A160" s="563"/>
      <c r="B160" s="34" t="s">
        <v>169</v>
      </c>
      <c r="C160" s="552">
        <f>'Use Allocation'!D28</f>
        <v>0</v>
      </c>
    </row>
    <row r="161" spans="1:3" ht="15" x14ac:dyDescent="0.25">
      <c r="A161" s="563"/>
      <c r="B161" s="34" t="s">
        <v>170</v>
      </c>
      <c r="C161" s="552">
        <f>'Use Allocation'!D29</f>
        <v>0</v>
      </c>
    </row>
    <row r="162" spans="1:3" ht="15" x14ac:dyDescent="0.25">
      <c r="A162" s="563"/>
      <c r="B162" s="34" t="s">
        <v>148</v>
      </c>
      <c r="C162" s="552">
        <f>'Use Allocation'!C30</f>
        <v>46500</v>
      </c>
    </row>
    <row r="163" spans="1:3" x14ac:dyDescent="0.2">
      <c r="A163" s="563"/>
      <c r="B163" s="102" t="s">
        <v>188</v>
      </c>
      <c r="C163" s="571"/>
    </row>
    <row r="164" spans="1:3" ht="13.5" thickBot="1" x14ac:dyDescent="0.25">
      <c r="A164" s="563"/>
      <c r="B164" s="545"/>
      <c r="C164" s="101"/>
    </row>
    <row r="165" spans="1:3" x14ac:dyDescent="0.2">
      <c r="A165" s="563"/>
      <c r="B165" s="546" t="s">
        <v>211</v>
      </c>
      <c r="C165" s="571"/>
    </row>
    <row r="166" spans="1:3" ht="15" x14ac:dyDescent="0.25">
      <c r="A166" s="563"/>
      <c r="B166" s="34" t="s">
        <v>172</v>
      </c>
      <c r="C166" s="570">
        <f>'Use Allocation'!D34</f>
        <v>0</v>
      </c>
    </row>
    <row r="167" spans="1:3" ht="15" x14ac:dyDescent="0.25">
      <c r="A167" s="563"/>
      <c r="B167" s="34" t="s">
        <v>169</v>
      </c>
      <c r="C167" s="552">
        <f>'Use Allocation'!E35</f>
        <v>0</v>
      </c>
    </row>
    <row r="168" spans="1:3" ht="15" x14ac:dyDescent="0.25">
      <c r="A168" s="563"/>
      <c r="B168" s="34" t="s">
        <v>171</v>
      </c>
      <c r="C168" s="552">
        <f>'Use Allocation'!E36</f>
        <v>0</v>
      </c>
    </row>
    <row r="169" spans="1:3" ht="15" x14ac:dyDescent="0.25">
      <c r="A169" s="563"/>
      <c r="B169" s="34" t="s">
        <v>148</v>
      </c>
      <c r="C169" s="552">
        <f>'Use Allocation'!C37</f>
        <v>60000</v>
      </c>
    </row>
    <row r="170" spans="1:3" ht="13.5" thickBot="1" x14ac:dyDescent="0.25">
      <c r="A170" s="563"/>
      <c r="B170" s="103" t="s">
        <v>188</v>
      </c>
      <c r="C170" s="569"/>
    </row>
    <row r="171" spans="1:3" x14ac:dyDescent="0.2">
      <c r="A171" s="563"/>
    </row>
    <row r="172" spans="1:3" x14ac:dyDescent="0.2">
      <c r="A172" s="563"/>
    </row>
    <row r="173" spans="1:3" x14ac:dyDescent="0.2">
      <c r="A173" s="43">
        <v>1</v>
      </c>
      <c r="B173" s="74" t="s">
        <v>214</v>
      </c>
      <c r="C173" s="104" t="str">
        <f>'Development by Block'!$H$32</f>
        <v/>
      </c>
    </row>
    <row r="174" spans="1:3" ht="13.5" thickBot="1" x14ac:dyDescent="0.25">
      <c r="A174" s="564">
        <v>2</v>
      </c>
      <c r="B174" s="74" t="s">
        <v>214</v>
      </c>
      <c r="C174" s="104" t="str">
        <f>'Development by Block'!$L$32</f>
        <v/>
      </c>
    </row>
    <row r="175" spans="1:3" ht="13.5" customHeight="1" thickBot="1" x14ac:dyDescent="0.25">
      <c r="A175" s="564">
        <v>3</v>
      </c>
      <c r="B175" s="74" t="s">
        <v>214</v>
      </c>
      <c r="C175" s="104" t="str">
        <f>'Development by Block'!$P$32</f>
        <v/>
      </c>
    </row>
    <row r="176" spans="1:3" ht="13.5" customHeight="1" thickBot="1" x14ac:dyDescent="0.25">
      <c r="A176" s="564">
        <v>4</v>
      </c>
      <c r="B176" s="74" t="s">
        <v>214</v>
      </c>
      <c r="C176" s="104" t="str">
        <f>'Development by Block'!$T$32</f>
        <v/>
      </c>
    </row>
    <row r="177" spans="1:3" ht="13.5" customHeight="1" thickBot="1" x14ac:dyDescent="0.25">
      <c r="A177" s="564">
        <v>5</v>
      </c>
      <c r="B177" s="74" t="s">
        <v>214</v>
      </c>
      <c r="C177" s="104" t="str">
        <f>'Development by Block'!$X$32</f>
        <v/>
      </c>
    </row>
    <row r="178" spans="1:3" ht="13.5" customHeight="1" x14ac:dyDescent="0.2">
      <c r="A178" s="544">
        <v>6</v>
      </c>
      <c r="B178" s="74" t="s">
        <v>214</v>
      </c>
      <c r="C178" s="104" t="str">
        <f>'Development by Block'!$AB$32</f>
        <v/>
      </c>
    </row>
    <row r="179" spans="1:3" x14ac:dyDescent="0.2"/>
    <row r="180" spans="1:3" x14ac:dyDescent="0.2"/>
    <row r="181" spans="1:3" x14ac:dyDescent="0.2"/>
    <row r="182" spans="1:3" x14ac:dyDescent="0.2"/>
    <row r="183" spans="1:3" x14ac:dyDescent="0.2"/>
    <row r="184" spans="1:3" x14ac:dyDescent="0.2"/>
  </sheetData>
  <pageMargins left="0.25" right="0.25" top="0.5" bottom="0.75" header="0.3" footer="0.3"/>
  <pageSetup fitToHeight="0" orientation="portrait" r:id="rId1"/>
  <rowBreaks count="1" manualBreakCount="1">
    <brk id="45"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WXA44"/>
  <sheetViews>
    <sheetView showGridLines="0" tabSelected="1" zoomScale="90" zoomScaleNormal="90" zoomScaleSheetLayoutView="85" workbookViewId="0">
      <pane xSplit="3" topLeftCell="N1" activePane="topRight" state="frozen"/>
      <selection pane="topRight" activeCell="N21" sqref="N21"/>
    </sheetView>
  </sheetViews>
  <sheetFormatPr defaultColWidth="0" defaultRowHeight="0" customHeight="1" zeroHeight="1" x14ac:dyDescent="0.2"/>
  <cols>
    <col min="1" max="1" width="21.7109375" style="91" customWidth="1"/>
    <col min="2" max="2" width="45" style="6" customWidth="1"/>
    <col min="3" max="3" width="78.42578125" style="27" customWidth="1"/>
    <col min="4" max="4" width="10.85546875" style="6" hidden="1" customWidth="1"/>
    <col min="5" max="5" width="12.28515625" style="6" hidden="1" customWidth="1"/>
    <col min="6" max="6" width="16.42578125" style="6" customWidth="1"/>
    <col min="7" max="7" width="16.140625" style="6" customWidth="1"/>
    <col min="8" max="31" width="16.42578125" style="7" customWidth="1"/>
    <col min="32" max="256" width="28" style="7" hidden="1"/>
    <col min="257" max="257" width="20.85546875" style="7" hidden="1"/>
    <col min="258" max="258" width="40.42578125" style="7" hidden="1"/>
    <col min="259" max="259" width="46.42578125" style="7" hidden="1"/>
    <col min="260" max="261" width="28" style="7" hidden="1"/>
    <col min="262" max="262" width="15.5703125" style="7" hidden="1"/>
    <col min="263" max="263" width="15.7109375" style="7" hidden="1"/>
    <col min="264" max="264" width="14.140625" style="7" hidden="1"/>
    <col min="265" max="265" width="16.42578125" style="7" hidden="1"/>
    <col min="266" max="266" width="15.28515625" style="7" hidden="1"/>
    <col min="267" max="267" width="17.28515625" style="7" hidden="1"/>
    <col min="268" max="268" width="14" style="7" hidden="1"/>
    <col min="269" max="269" width="16.42578125" style="7" hidden="1"/>
    <col min="270" max="270" width="15.28515625" style="7" hidden="1"/>
    <col min="271" max="271" width="17.85546875" style="7" hidden="1"/>
    <col min="272" max="272" width="13.85546875" style="7" hidden="1"/>
    <col min="273" max="273" width="16.42578125" style="7" hidden="1"/>
    <col min="274" max="274" width="15.28515625" style="7" hidden="1"/>
    <col min="275" max="275" width="17.28515625" style="7" hidden="1"/>
    <col min="276" max="276" width="13.5703125" style="7" hidden="1"/>
    <col min="277" max="277" width="15.85546875" style="7" hidden="1"/>
    <col min="278" max="278" width="15.28515625" style="7" hidden="1"/>
    <col min="279" max="279" width="17.28515625" style="7" hidden="1"/>
    <col min="280" max="280" width="13.5703125" style="7" hidden="1"/>
    <col min="281" max="281" width="16.42578125" style="7" hidden="1"/>
    <col min="282" max="282" width="13.28515625" style="7" hidden="1"/>
    <col min="283" max="283" width="17.28515625" style="7" hidden="1"/>
    <col min="284" max="284" width="13.7109375" style="7" hidden="1"/>
    <col min="285" max="285" width="16.5703125" style="7" hidden="1"/>
    <col min="286" max="286" width="15" style="7" hidden="1"/>
    <col min="287" max="287" width="12.28515625" style="7" hidden="1"/>
    <col min="288" max="512" width="28" style="7" hidden="1"/>
    <col min="513" max="513" width="20.85546875" style="7" hidden="1"/>
    <col min="514" max="514" width="40.42578125" style="7" hidden="1"/>
    <col min="515" max="515" width="46.42578125" style="7" hidden="1"/>
    <col min="516" max="517" width="28" style="7" hidden="1"/>
    <col min="518" max="518" width="15.5703125" style="7" hidden="1"/>
    <col min="519" max="519" width="15.7109375" style="7" hidden="1"/>
    <col min="520" max="520" width="14.140625" style="7" hidden="1"/>
    <col min="521" max="521" width="16.42578125" style="7" hidden="1"/>
    <col min="522" max="522" width="15.28515625" style="7" hidden="1"/>
    <col min="523" max="523" width="17.28515625" style="7" hidden="1"/>
    <col min="524" max="524" width="14" style="7" hidden="1"/>
    <col min="525" max="525" width="16.42578125" style="7" hidden="1"/>
    <col min="526" max="526" width="15.28515625" style="7" hidden="1"/>
    <col min="527" max="527" width="17.85546875" style="7" hidden="1"/>
    <col min="528" max="528" width="13.85546875" style="7" hidden="1"/>
    <col min="529" max="529" width="16.42578125" style="7" hidden="1"/>
    <col min="530" max="530" width="15.28515625" style="7" hidden="1"/>
    <col min="531" max="531" width="17.28515625" style="7" hidden="1"/>
    <col min="532" max="532" width="13.5703125" style="7" hidden="1"/>
    <col min="533" max="533" width="15.85546875" style="7" hidden="1"/>
    <col min="534" max="534" width="15.28515625" style="7" hidden="1"/>
    <col min="535" max="535" width="17.28515625" style="7" hidden="1"/>
    <col min="536" max="536" width="13.5703125" style="7" hidden="1"/>
    <col min="537" max="537" width="16.42578125" style="7" hidden="1"/>
    <col min="538" max="538" width="13.28515625" style="7" hidden="1"/>
    <col min="539" max="539" width="17.28515625" style="7" hidden="1"/>
    <col min="540" max="540" width="13.7109375" style="7" hidden="1"/>
    <col min="541" max="541" width="16.5703125" style="7" hidden="1"/>
    <col min="542" max="542" width="15" style="7" hidden="1"/>
    <col min="543" max="543" width="12.28515625" style="7" hidden="1"/>
    <col min="544" max="768" width="28" style="7" hidden="1"/>
    <col min="769" max="769" width="20.85546875" style="7" hidden="1"/>
    <col min="770" max="770" width="40.42578125" style="7" hidden="1"/>
    <col min="771" max="771" width="46.42578125" style="7" hidden="1"/>
    <col min="772" max="773" width="28" style="7" hidden="1"/>
    <col min="774" max="774" width="15.5703125" style="7" hidden="1"/>
    <col min="775" max="775" width="15.7109375" style="7" hidden="1"/>
    <col min="776" max="776" width="14.140625" style="7" hidden="1"/>
    <col min="777" max="777" width="16.42578125" style="7" hidden="1"/>
    <col min="778" max="778" width="15.28515625" style="7" hidden="1"/>
    <col min="779" max="779" width="17.28515625" style="7" hidden="1"/>
    <col min="780" max="780" width="14" style="7" hidden="1"/>
    <col min="781" max="781" width="16.42578125" style="7" hidden="1"/>
    <col min="782" max="782" width="15.28515625" style="7" hidden="1"/>
    <col min="783" max="783" width="17.85546875" style="7" hidden="1"/>
    <col min="784" max="784" width="13.85546875" style="7" hidden="1"/>
    <col min="785" max="785" width="16.42578125" style="7" hidden="1"/>
    <col min="786" max="786" width="15.28515625" style="7" hidden="1"/>
    <col min="787" max="787" width="17.28515625" style="7" hidden="1"/>
    <col min="788" max="788" width="13.5703125" style="7" hidden="1"/>
    <col min="789" max="789" width="15.85546875" style="7" hidden="1"/>
    <col min="790" max="790" width="15.28515625" style="7" hidden="1"/>
    <col min="791" max="791" width="17.28515625" style="7" hidden="1"/>
    <col min="792" max="792" width="13.5703125" style="7" hidden="1"/>
    <col min="793" max="793" width="16.42578125" style="7" hidden="1"/>
    <col min="794" max="794" width="13.28515625" style="7" hidden="1"/>
    <col min="795" max="795" width="17.28515625" style="7" hidden="1"/>
    <col min="796" max="796" width="13.7109375" style="7" hidden="1"/>
    <col min="797" max="797" width="16.5703125" style="7" hidden="1"/>
    <col min="798" max="798" width="15" style="7" hidden="1"/>
    <col min="799" max="799" width="12.28515625" style="7" hidden="1"/>
    <col min="800" max="1024" width="28" style="7" hidden="1"/>
    <col min="1025" max="1025" width="20.85546875" style="7" hidden="1"/>
    <col min="1026" max="1026" width="40.42578125" style="7" hidden="1"/>
    <col min="1027" max="1027" width="46.42578125" style="7" hidden="1"/>
    <col min="1028" max="1029" width="28" style="7" hidden="1"/>
    <col min="1030" max="1030" width="15.5703125" style="7" hidden="1"/>
    <col min="1031" max="1031" width="15.7109375" style="7" hidden="1"/>
    <col min="1032" max="1032" width="14.140625" style="7" hidden="1"/>
    <col min="1033" max="1033" width="16.42578125" style="7" hidden="1"/>
    <col min="1034" max="1034" width="15.28515625" style="7" hidden="1"/>
    <col min="1035" max="1035" width="17.28515625" style="7" hidden="1"/>
    <col min="1036" max="1036" width="14" style="7" hidden="1"/>
    <col min="1037" max="1037" width="16.42578125" style="7" hidden="1"/>
    <col min="1038" max="1038" width="15.28515625" style="7" hidden="1"/>
    <col min="1039" max="1039" width="17.85546875" style="7" hidden="1"/>
    <col min="1040" max="1040" width="13.85546875" style="7" hidden="1"/>
    <col min="1041" max="1041" width="16.42578125" style="7" hidden="1"/>
    <col min="1042" max="1042" width="15.28515625" style="7" hidden="1"/>
    <col min="1043" max="1043" width="17.28515625" style="7" hidden="1"/>
    <col min="1044" max="1044" width="13.5703125" style="7" hidden="1"/>
    <col min="1045" max="1045" width="15.85546875" style="7" hidden="1"/>
    <col min="1046" max="1046" width="15.28515625" style="7" hidden="1"/>
    <col min="1047" max="1047" width="17.28515625" style="7" hidden="1"/>
    <col min="1048" max="1048" width="13.5703125" style="7" hidden="1"/>
    <col min="1049" max="1049" width="16.42578125" style="7" hidden="1"/>
    <col min="1050" max="1050" width="13.28515625" style="7" hidden="1"/>
    <col min="1051" max="1051" width="17.28515625" style="7" hidden="1"/>
    <col min="1052" max="1052" width="13.7109375" style="7" hidden="1"/>
    <col min="1053" max="1053" width="16.5703125" style="7" hidden="1"/>
    <col min="1054" max="1054" width="15" style="7" hidden="1"/>
    <col min="1055" max="1055" width="12.28515625" style="7" hidden="1"/>
    <col min="1056" max="1280" width="28" style="7" hidden="1"/>
    <col min="1281" max="1281" width="20.85546875" style="7" hidden="1"/>
    <col min="1282" max="1282" width="40.42578125" style="7" hidden="1"/>
    <col min="1283" max="1283" width="46.42578125" style="7" hidden="1"/>
    <col min="1284" max="1285" width="28" style="7" hidden="1"/>
    <col min="1286" max="1286" width="15.5703125" style="7" hidden="1"/>
    <col min="1287" max="1287" width="15.7109375" style="7" hidden="1"/>
    <col min="1288" max="1288" width="14.140625" style="7" hidden="1"/>
    <col min="1289" max="1289" width="16.42578125" style="7" hidden="1"/>
    <col min="1290" max="1290" width="15.28515625" style="7" hidden="1"/>
    <col min="1291" max="1291" width="17.28515625" style="7" hidden="1"/>
    <col min="1292" max="1292" width="14" style="7" hidden="1"/>
    <col min="1293" max="1293" width="16.42578125" style="7" hidden="1"/>
    <col min="1294" max="1294" width="15.28515625" style="7" hidden="1"/>
    <col min="1295" max="1295" width="17.85546875" style="7" hidden="1"/>
    <col min="1296" max="1296" width="13.85546875" style="7" hidden="1"/>
    <col min="1297" max="1297" width="16.42578125" style="7" hidden="1"/>
    <col min="1298" max="1298" width="15.28515625" style="7" hidden="1"/>
    <col min="1299" max="1299" width="17.28515625" style="7" hidden="1"/>
    <col min="1300" max="1300" width="13.5703125" style="7" hidden="1"/>
    <col min="1301" max="1301" width="15.85546875" style="7" hidden="1"/>
    <col min="1302" max="1302" width="15.28515625" style="7" hidden="1"/>
    <col min="1303" max="1303" width="17.28515625" style="7" hidden="1"/>
    <col min="1304" max="1304" width="13.5703125" style="7" hidden="1"/>
    <col min="1305" max="1305" width="16.42578125" style="7" hidden="1"/>
    <col min="1306" max="1306" width="13.28515625" style="7" hidden="1"/>
    <col min="1307" max="1307" width="17.28515625" style="7" hidden="1"/>
    <col min="1308" max="1308" width="13.7109375" style="7" hidden="1"/>
    <col min="1309" max="1309" width="16.5703125" style="7" hidden="1"/>
    <col min="1310" max="1310" width="15" style="7" hidden="1"/>
    <col min="1311" max="1311" width="12.28515625" style="7" hidden="1"/>
    <col min="1312" max="1536" width="28" style="7" hidden="1"/>
    <col min="1537" max="1537" width="20.85546875" style="7" hidden="1"/>
    <col min="1538" max="1538" width="40.42578125" style="7" hidden="1"/>
    <col min="1539" max="1539" width="46.42578125" style="7" hidden="1"/>
    <col min="1540" max="1541" width="28" style="7" hidden="1"/>
    <col min="1542" max="1542" width="15.5703125" style="7" hidden="1"/>
    <col min="1543" max="1543" width="15.7109375" style="7" hidden="1"/>
    <col min="1544" max="1544" width="14.140625" style="7" hidden="1"/>
    <col min="1545" max="1545" width="16.42578125" style="7" hidden="1"/>
    <col min="1546" max="1546" width="15.28515625" style="7" hidden="1"/>
    <col min="1547" max="1547" width="17.28515625" style="7" hidden="1"/>
    <col min="1548" max="1548" width="14" style="7" hidden="1"/>
    <col min="1549" max="1549" width="16.42578125" style="7" hidden="1"/>
    <col min="1550" max="1550" width="15.28515625" style="7" hidden="1"/>
    <col min="1551" max="1551" width="17.85546875" style="7" hidden="1"/>
    <col min="1552" max="1552" width="13.85546875" style="7" hidden="1"/>
    <col min="1553" max="1553" width="16.42578125" style="7" hidden="1"/>
    <col min="1554" max="1554" width="15.28515625" style="7" hidden="1"/>
    <col min="1555" max="1555" width="17.28515625" style="7" hidden="1"/>
    <col min="1556" max="1556" width="13.5703125" style="7" hidden="1"/>
    <col min="1557" max="1557" width="15.85546875" style="7" hidden="1"/>
    <col min="1558" max="1558" width="15.28515625" style="7" hidden="1"/>
    <col min="1559" max="1559" width="17.28515625" style="7" hidden="1"/>
    <col min="1560" max="1560" width="13.5703125" style="7" hidden="1"/>
    <col min="1561" max="1561" width="16.42578125" style="7" hidden="1"/>
    <col min="1562" max="1562" width="13.28515625" style="7" hidden="1"/>
    <col min="1563" max="1563" width="17.28515625" style="7" hidden="1"/>
    <col min="1564" max="1564" width="13.7109375" style="7" hidden="1"/>
    <col min="1565" max="1565" width="16.5703125" style="7" hidden="1"/>
    <col min="1566" max="1566" width="15" style="7" hidden="1"/>
    <col min="1567" max="1567" width="12.28515625" style="7" hidden="1"/>
    <col min="1568" max="1792" width="28" style="7" hidden="1"/>
    <col min="1793" max="1793" width="20.85546875" style="7" hidden="1"/>
    <col min="1794" max="1794" width="40.42578125" style="7" hidden="1"/>
    <col min="1795" max="1795" width="46.42578125" style="7" hidden="1"/>
    <col min="1796" max="1797" width="28" style="7" hidden="1"/>
    <col min="1798" max="1798" width="15.5703125" style="7" hidden="1"/>
    <col min="1799" max="1799" width="15.7109375" style="7" hidden="1"/>
    <col min="1800" max="1800" width="14.140625" style="7" hidden="1"/>
    <col min="1801" max="1801" width="16.42578125" style="7" hidden="1"/>
    <col min="1802" max="1802" width="15.28515625" style="7" hidden="1"/>
    <col min="1803" max="1803" width="17.28515625" style="7" hidden="1"/>
    <col min="1804" max="1804" width="14" style="7" hidden="1"/>
    <col min="1805" max="1805" width="16.42578125" style="7" hidden="1"/>
    <col min="1806" max="1806" width="15.28515625" style="7" hidden="1"/>
    <col min="1807" max="1807" width="17.85546875" style="7" hidden="1"/>
    <col min="1808" max="1808" width="13.85546875" style="7" hidden="1"/>
    <col min="1809" max="1809" width="16.42578125" style="7" hidden="1"/>
    <col min="1810" max="1810" width="15.28515625" style="7" hidden="1"/>
    <col min="1811" max="1811" width="17.28515625" style="7" hidden="1"/>
    <col min="1812" max="1812" width="13.5703125" style="7" hidden="1"/>
    <col min="1813" max="1813" width="15.85546875" style="7" hidden="1"/>
    <col min="1814" max="1814" width="15.28515625" style="7" hidden="1"/>
    <col min="1815" max="1815" width="17.28515625" style="7" hidden="1"/>
    <col min="1816" max="1816" width="13.5703125" style="7" hidden="1"/>
    <col min="1817" max="1817" width="16.42578125" style="7" hidden="1"/>
    <col min="1818" max="1818" width="13.28515625" style="7" hidden="1"/>
    <col min="1819" max="1819" width="17.28515625" style="7" hidden="1"/>
    <col min="1820" max="1820" width="13.7109375" style="7" hidden="1"/>
    <col min="1821" max="1821" width="16.5703125" style="7" hidden="1"/>
    <col min="1822" max="1822" width="15" style="7" hidden="1"/>
    <col min="1823" max="1823" width="12.28515625" style="7" hidden="1"/>
    <col min="1824" max="2048" width="28" style="7" hidden="1"/>
    <col min="2049" max="2049" width="20.85546875" style="7" hidden="1"/>
    <col min="2050" max="2050" width="40.42578125" style="7" hidden="1"/>
    <col min="2051" max="2051" width="46.42578125" style="7" hidden="1"/>
    <col min="2052" max="2053" width="28" style="7" hidden="1"/>
    <col min="2054" max="2054" width="15.5703125" style="7" hidden="1"/>
    <col min="2055" max="2055" width="15.7109375" style="7" hidden="1"/>
    <col min="2056" max="2056" width="14.140625" style="7" hidden="1"/>
    <col min="2057" max="2057" width="16.42578125" style="7" hidden="1"/>
    <col min="2058" max="2058" width="15.28515625" style="7" hidden="1"/>
    <col min="2059" max="2059" width="17.28515625" style="7" hidden="1"/>
    <col min="2060" max="2060" width="14" style="7" hidden="1"/>
    <col min="2061" max="2061" width="16.42578125" style="7" hidden="1"/>
    <col min="2062" max="2062" width="15.28515625" style="7" hidden="1"/>
    <col min="2063" max="2063" width="17.85546875" style="7" hidden="1"/>
    <col min="2064" max="2064" width="13.85546875" style="7" hidden="1"/>
    <col min="2065" max="2065" width="16.42578125" style="7" hidden="1"/>
    <col min="2066" max="2066" width="15.28515625" style="7" hidden="1"/>
    <col min="2067" max="2067" width="17.28515625" style="7" hidden="1"/>
    <col min="2068" max="2068" width="13.5703125" style="7" hidden="1"/>
    <col min="2069" max="2069" width="15.85546875" style="7" hidden="1"/>
    <col min="2070" max="2070" width="15.28515625" style="7" hidden="1"/>
    <col min="2071" max="2071" width="17.28515625" style="7" hidden="1"/>
    <col min="2072" max="2072" width="13.5703125" style="7" hidden="1"/>
    <col min="2073" max="2073" width="16.42578125" style="7" hidden="1"/>
    <col min="2074" max="2074" width="13.28515625" style="7" hidden="1"/>
    <col min="2075" max="2075" width="17.28515625" style="7" hidden="1"/>
    <col min="2076" max="2076" width="13.7109375" style="7" hidden="1"/>
    <col min="2077" max="2077" width="16.5703125" style="7" hidden="1"/>
    <col min="2078" max="2078" width="15" style="7" hidden="1"/>
    <col min="2079" max="2079" width="12.28515625" style="7" hidden="1"/>
    <col min="2080" max="2304" width="28" style="7" hidden="1"/>
    <col min="2305" max="2305" width="20.85546875" style="7" hidden="1"/>
    <col min="2306" max="2306" width="40.42578125" style="7" hidden="1"/>
    <col min="2307" max="2307" width="46.42578125" style="7" hidden="1"/>
    <col min="2308" max="2309" width="28" style="7" hidden="1"/>
    <col min="2310" max="2310" width="15.5703125" style="7" hidden="1"/>
    <col min="2311" max="2311" width="15.7109375" style="7" hidden="1"/>
    <col min="2312" max="2312" width="14.140625" style="7" hidden="1"/>
    <col min="2313" max="2313" width="16.42578125" style="7" hidden="1"/>
    <col min="2314" max="2314" width="15.28515625" style="7" hidden="1"/>
    <col min="2315" max="2315" width="17.28515625" style="7" hidden="1"/>
    <col min="2316" max="2316" width="14" style="7" hidden="1"/>
    <col min="2317" max="2317" width="16.42578125" style="7" hidden="1"/>
    <col min="2318" max="2318" width="15.28515625" style="7" hidden="1"/>
    <col min="2319" max="2319" width="17.85546875" style="7" hidden="1"/>
    <col min="2320" max="2320" width="13.85546875" style="7" hidden="1"/>
    <col min="2321" max="2321" width="16.42578125" style="7" hidden="1"/>
    <col min="2322" max="2322" width="15.28515625" style="7" hidden="1"/>
    <col min="2323" max="2323" width="17.28515625" style="7" hidden="1"/>
    <col min="2324" max="2324" width="13.5703125" style="7" hidden="1"/>
    <col min="2325" max="2325" width="15.85546875" style="7" hidden="1"/>
    <col min="2326" max="2326" width="15.28515625" style="7" hidden="1"/>
    <col min="2327" max="2327" width="17.28515625" style="7" hidden="1"/>
    <col min="2328" max="2328" width="13.5703125" style="7" hidden="1"/>
    <col min="2329" max="2329" width="16.42578125" style="7" hidden="1"/>
    <col min="2330" max="2330" width="13.28515625" style="7" hidden="1"/>
    <col min="2331" max="2331" width="17.28515625" style="7" hidden="1"/>
    <col min="2332" max="2332" width="13.7109375" style="7" hidden="1"/>
    <col min="2333" max="2333" width="16.5703125" style="7" hidden="1"/>
    <col min="2334" max="2334" width="15" style="7" hidden="1"/>
    <col min="2335" max="2335" width="12.28515625" style="7" hidden="1"/>
    <col min="2336" max="2560" width="28" style="7" hidden="1"/>
    <col min="2561" max="2561" width="20.85546875" style="7" hidden="1"/>
    <col min="2562" max="2562" width="40.42578125" style="7" hidden="1"/>
    <col min="2563" max="2563" width="46.42578125" style="7" hidden="1"/>
    <col min="2564" max="2565" width="28" style="7" hidden="1"/>
    <col min="2566" max="2566" width="15.5703125" style="7" hidden="1"/>
    <col min="2567" max="2567" width="15.7109375" style="7" hidden="1"/>
    <col min="2568" max="2568" width="14.140625" style="7" hidden="1"/>
    <col min="2569" max="2569" width="16.42578125" style="7" hidden="1"/>
    <col min="2570" max="2570" width="15.28515625" style="7" hidden="1"/>
    <col min="2571" max="2571" width="17.28515625" style="7" hidden="1"/>
    <col min="2572" max="2572" width="14" style="7" hidden="1"/>
    <col min="2573" max="2573" width="16.42578125" style="7" hidden="1"/>
    <col min="2574" max="2574" width="15.28515625" style="7" hidden="1"/>
    <col min="2575" max="2575" width="17.85546875" style="7" hidden="1"/>
    <col min="2576" max="2576" width="13.85546875" style="7" hidden="1"/>
    <col min="2577" max="2577" width="16.42578125" style="7" hidden="1"/>
    <col min="2578" max="2578" width="15.28515625" style="7" hidden="1"/>
    <col min="2579" max="2579" width="17.28515625" style="7" hidden="1"/>
    <col min="2580" max="2580" width="13.5703125" style="7" hidden="1"/>
    <col min="2581" max="2581" width="15.85546875" style="7" hidden="1"/>
    <col min="2582" max="2582" width="15.28515625" style="7" hidden="1"/>
    <col min="2583" max="2583" width="17.28515625" style="7" hidden="1"/>
    <col min="2584" max="2584" width="13.5703125" style="7" hidden="1"/>
    <col min="2585" max="2585" width="16.42578125" style="7" hidden="1"/>
    <col min="2586" max="2586" width="13.28515625" style="7" hidden="1"/>
    <col min="2587" max="2587" width="17.28515625" style="7" hidden="1"/>
    <col min="2588" max="2588" width="13.7109375" style="7" hidden="1"/>
    <col min="2589" max="2589" width="16.5703125" style="7" hidden="1"/>
    <col min="2590" max="2590" width="15" style="7" hidden="1"/>
    <col min="2591" max="2591" width="12.28515625" style="7" hidden="1"/>
    <col min="2592" max="2816" width="28" style="7" hidden="1"/>
    <col min="2817" max="2817" width="20.85546875" style="7" hidden="1"/>
    <col min="2818" max="2818" width="40.42578125" style="7" hidden="1"/>
    <col min="2819" max="2819" width="46.42578125" style="7" hidden="1"/>
    <col min="2820" max="2821" width="28" style="7" hidden="1"/>
    <col min="2822" max="2822" width="15.5703125" style="7" hidden="1"/>
    <col min="2823" max="2823" width="15.7109375" style="7" hidden="1"/>
    <col min="2824" max="2824" width="14.140625" style="7" hidden="1"/>
    <col min="2825" max="2825" width="16.42578125" style="7" hidden="1"/>
    <col min="2826" max="2826" width="15.28515625" style="7" hidden="1"/>
    <col min="2827" max="2827" width="17.28515625" style="7" hidden="1"/>
    <col min="2828" max="2828" width="14" style="7" hidden="1"/>
    <col min="2829" max="2829" width="16.42578125" style="7" hidden="1"/>
    <col min="2830" max="2830" width="15.28515625" style="7" hidden="1"/>
    <col min="2831" max="2831" width="17.85546875" style="7" hidden="1"/>
    <col min="2832" max="2832" width="13.85546875" style="7" hidden="1"/>
    <col min="2833" max="2833" width="16.42578125" style="7" hidden="1"/>
    <col min="2834" max="2834" width="15.28515625" style="7" hidden="1"/>
    <col min="2835" max="2835" width="17.28515625" style="7" hidden="1"/>
    <col min="2836" max="2836" width="13.5703125" style="7" hidden="1"/>
    <col min="2837" max="2837" width="15.85546875" style="7" hidden="1"/>
    <col min="2838" max="2838" width="15.28515625" style="7" hidden="1"/>
    <col min="2839" max="2839" width="17.28515625" style="7" hidden="1"/>
    <col min="2840" max="2840" width="13.5703125" style="7" hidden="1"/>
    <col min="2841" max="2841" width="16.42578125" style="7" hidden="1"/>
    <col min="2842" max="2842" width="13.28515625" style="7" hidden="1"/>
    <col min="2843" max="2843" width="17.28515625" style="7" hidden="1"/>
    <col min="2844" max="2844" width="13.7109375" style="7" hidden="1"/>
    <col min="2845" max="2845" width="16.5703125" style="7" hidden="1"/>
    <col min="2846" max="2846" width="15" style="7" hidden="1"/>
    <col min="2847" max="2847" width="12.28515625" style="7" hidden="1"/>
    <col min="2848" max="3072" width="28" style="7" hidden="1"/>
    <col min="3073" max="3073" width="20.85546875" style="7" hidden="1"/>
    <col min="3074" max="3074" width="40.42578125" style="7" hidden="1"/>
    <col min="3075" max="3075" width="46.42578125" style="7" hidden="1"/>
    <col min="3076" max="3077" width="28" style="7" hidden="1"/>
    <col min="3078" max="3078" width="15.5703125" style="7" hidden="1"/>
    <col min="3079" max="3079" width="15.7109375" style="7" hidden="1"/>
    <col min="3080" max="3080" width="14.140625" style="7" hidden="1"/>
    <col min="3081" max="3081" width="16.42578125" style="7" hidden="1"/>
    <col min="3082" max="3082" width="15.28515625" style="7" hidden="1"/>
    <col min="3083" max="3083" width="17.28515625" style="7" hidden="1"/>
    <col min="3084" max="3084" width="14" style="7" hidden="1"/>
    <col min="3085" max="3085" width="16.42578125" style="7" hidden="1"/>
    <col min="3086" max="3086" width="15.28515625" style="7" hidden="1"/>
    <col min="3087" max="3087" width="17.85546875" style="7" hidden="1"/>
    <col min="3088" max="3088" width="13.85546875" style="7" hidden="1"/>
    <col min="3089" max="3089" width="16.42578125" style="7" hidden="1"/>
    <col min="3090" max="3090" width="15.28515625" style="7" hidden="1"/>
    <col min="3091" max="3091" width="17.28515625" style="7" hidden="1"/>
    <col min="3092" max="3092" width="13.5703125" style="7" hidden="1"/>
    <col min="3093" max="3093" width="15.85546875" style="7" hidden="1"/>
    <col min="3094" max="3094" width="15.28515625" style="7" hidden="1"/>
    <col min="3095" max="3095" width="17.28515625" style="7" hidden="1"/>
    <col min="3096" max="3096" width="13.5703125" style="7" hidden="1"/>
    <col min="3097" max="3097" width="16.42578125" style="7" hidden="1"/>
    <col min="3098" max="3098" width="13.28515625" style="7" hidden="1"/>
    <col min="3099" max="3099" width="17.28515625" style="7" hidden="1"/>
    <col min="3100" max="3100" width="13.7109375" style="7" hidden="1"/>
    <col min="3101" max="3101" width="16.5703125" style="7" hidden="1"/>
    <col min="3102" max="3102" width="15" style="7" hidden="1"/>
    <col min="3103" max="3103" width="12.28515625" style="7" hidden="1"/>
    <col min="3104" max="3328" width="28" style="7" hidden="1"/>
    <col min="3329" max="3329" width="20.85546875" style="7" hidden="1"/>
    <col min="3330" max="3330" width="40.42578125" style="7" hidden="1"/>
    <col min="3331" max="3331" width="46.42578125" style="7" hidden="1"/>
    <col min="3332" max="3333" width="28" style="7" hidden="1"/>
    <col min="3334" max="3334" width="15.5703125" style="7" hidden="1"/>
    <col min="3335" max="3335" width="15.7109375" style="7" hidden="1"/>
    <col min="3336" max="3336" width="14.140625" style="7" hidden="1"/>
    <col min="3337" max="3337" width="16.42578125" style="7" hidden="1"/>
    <col min="3338" max="3338" width="15.28515625" style="7" hidden="1"/>
    <col min="3339" max="3339" width="17.28515625" style="7" hidden="1"/>
    <col min="3340" max="3340" width="14" style="7" hidden="1"/>
    <col min="3341" max="3341" width="16.42578125" style="7" hidden="1"/>
    <col min="3342" max="3342" width="15.28515625" style="7" hidden="1"/>
    <col min="3343" max="3343" width="17.85546875" style="7" hidden="1"/>
    <col min="3344" max="3344" width="13.85546875" style="7" hidden="1"/>
    <col min="3345" max="3345" width="16.42578125" style="7" hidden="1"/>
    <col min="3346" max="3346" width="15.28515625" style="7" hidden="1"/>
    <col min="3347" max="3347" width="17.28515625" style="7" hidden="1"/>
    <col min="3348" max="3348" width="13.5703125" style="7" hidden="1"/>
    <col min="3349" max="3349" width="15.85546875" style="7" hidden="1"/>
    <col min="3350" max="3350" width="15.28515625" style="7" hidden="1"/>
    <col min="3351" max="3351" width="17.28515625" style="7" hidden="1"/>
    <col min="3352" max="3352" width="13.5703125" style="7" hidden="1"/>
    <col min="3353" max="3353" width="16.42578125" style="7" hidden="1"/>
    <col min="3354" max="3354" width="13.28515625" style="7" hidden="1"/>
    <col min="3355" max="3355" width="17.28515625" style="7" hidden="1"/>
    <col min="3356" max="3356" width="13.7109375" style="7" hidden="1"/>
    <col min="3357" max="3357" width="16.5703125" style="7" hidden="1"/>
    <col min="3358" max="3358" width="15" style="7" hidden="1"/>
    <col min="3359" max="3359" width="12.28515625" style="7" hidden="1"/>
    <col min="3360" max="3584" width="28" style="7" hidden="1"/>
    <col min="3585" max="3585" width="20.85546875" style="7" hidden="1"/>
    <col min="3586" max="3586" width="40.42578125" style="7" hidden="1"/>
    <col min="3587" max="3587" width="46.42578125" style="7" hidden="1"/>
    <col min="3588" max="3589" width="28" style="7" hidden="1"/>
    <col min="3590" max="3590" width="15.5703125" style="7" hidden="1"/>
    <col min="3591" max="3591" width="15.7109375" style="7" hidden="1"/>
    <col min="3592" max="3592" width="14.140625" style="7" hidden="1"/>
    <col min="3593" max="3593" width="16.42578125" style="7" hidden="1"/>
    <col min="3594" max="3594" width="15.28515625" style="7" hidden="1"/>
    <col min="3595" max="3595" width="17.28515625" style="7" hidden="1"/>
    <col min="3596" max="3596" width="14" style="7" hidden="1"/>
    <col min="3597" max="3597" width="16.42578125" style="7" hidden="1"/>
    <col min="3598" max="3598" width="15.28515625" style="7" hidden="1"/>
    <col min="3599" max="3599" width="17.85546875" style="7" hidden="1"/>
    <col min="3600" max="3600" width="13.85546875" style="7" hidden="1"/>
    <col min="3601" max="3601" width="16.42578125" style="7" hidden="1"/>
    <col min="3602" max="3602" width="15.28515625" style="7" hidden="1"/>
    <col min="3603" max="3603" width="17.28515625" style="7" hidden="1"/>
    <col min="3604" max="3604" width="13.5703125" style="7" hidden="1"/>
    <col min="3605" max="3605" width="15.85546875" style="7" hidden="1"/>
    <col min="3606" max="3606" width="15.28515625" style="7" hidden="1"/>
    <col min="3607" max="3607" width="17.28515625" style="7" hidden="1"/>
    <col min="3608" max="3608" width="13.5703125" style="7" hidden="1"/>
    <col min="3609" max="3609" width="16.42578125" style="7" hidden="1"/>
    <col min="3610" max="3610" width="13.28515625" style="7" hidden="1"/>
    <col min="3611" max="3611" width="17.28515625" style="7" hidden="1"/>
    <col min="3612" max="3612" width="13.7109375" style="7" hidden="1"/>
    <col min="3613" max="3613" width="16.5703125" style="7" hidden="1"/>
    <col min="3614" max="3614" width="15" style="7" hidden="1"/>
    <col min="3615" max="3615" width="12.28515625" style="7" hidden="1"/>
    <col min="3616" max="3840" width="28" style="7" hidden="1"/>
    <col min="3841" max="3841" width="20.85546875" style="7" hidden="1"/>
    <col min="3842" max="3842" width="40.42578125" style="7" hidden="1"/>
    <col min="3843" max="3843" width="46.42578125" style="7" hidden="1"/>
    <col min="3844" max="3845" width="28" style="7" hidden="1"/>
    <col min="3846" max="3846" width="15.5703125" style="7" hidden="1"/>
    <col min="3847" max="3847" width="15.7109375" style="7" hidden="1"/>
    <col min="3848" max="3848" width="14.140625" style="7" hidden="1"/>
    <col min="3849" max="3849" width="16.42578125" style="7" hidden="1"/>
    <col min="3850" max="3850" width="15.28515625" style="7" hidden="1"/>
    <col min="3851" max="3851" width="17.28515625" style="7" hidden="1"/>
    <col min="3852" max="3852" width="14" style="7" hidden="1"/>
    <col min="3853" max="3853" width="16.42578125" style="7" hidden="1"/>
    <col min="3854" max="3854" width="15.28515625" style="7" hidden="1"/>
    <col min="3855" max="3855" width="17.85546875" style="7" hidden="1"/>
    <col min="3856" max="3856" width="13.85546875" style="7" hidden="1"/>
    <col min="3857" max="3857" width="16.42578125" style="7" hidden="1"/>
    <col min="3858" max="3858" width="15.28515625" style="7" hidden="1"/>
    <col min="3859" max="3859" width="17.28515625" style="7" hidden="1"/>
    <col min="3860" max="3860" width="13.5703125" style="7" hidden="1"/>
    <col min="3861" max="3861" width="15.85546875" style="7" hidden="1"/>
    <col min="3862" max="3862" width="15.28515625" style="7" hidden="1"/>
    <col min="3863" max="3863" width="17.28515625" style="7" hidden="1"/>
    <col min="3864" max="3864" width="13.5703125" style="7" hidden="1"/>
    <col min="3865" max="3865" width="16.42578125" style="7" hidden="1"/>
    <col min="3866" max="3866" width="13.28515625" style="7" hidden="1"/>
    <col min="3867" max="3867" width="17.28515625" style="7" hidden="1"/>
    <col min="3868" max="3868" width="13.7109375" style="7" hidden="1"/>
    <col min="3869" max="3869" width="16.5703125" style="7" hidden="1"/>
    <col min="3870" max="3870" width="15" style="7" hidden="1"/>
    <col min="3871" max="3871" width="12.28515625" style="7" hidden="1"/>
    <col min="3872" max="4096" width="28" style="7" hidden="1"/>
    <col min="4097" max="4097" width="20.85546875" style="7" hidden="1"/>
    <col min="4098" max="4098" width="40.42578125" style="7" hidden="1"/>
    <col min="4099" max="4099" width="46.42578125" style="7" hidden="1"/>
    <col min="4100" max="4101" width="28" style="7" hidden="1"/>
    <col min="4102" max="4102" width="15.5703125" style="7" hidden="1"/>
    <col min="4103" max="4103" width="15.7109375" style="7" hidden="1"/>
    <col min="4104" max="4104" width="14.140625" style="7" hidden="1"/>
    <col min="4105" max="4105" width="16.42578125" style="7" hidden="1"/>
    <col min="4106" max="4106" width="15.28515625" style="7" hidden="1"/>
    <col min="4107" max="4107" width="17.28515625" style="7" hidden="1"/>
    <col min="4108" max="4108" width="14" style="7" hidden="1"/>
    <col min="4109" max="4109" width="16.42578125" style="7" hidden="1"/>
    <col min="4110" max="4110" width="15.28515625" style="7" hidden="1"/>
    <col min="4111" max="4111" width="17.85546875" style="7" hidden="1"/>
    <col min="4112" max="4112" width="13.85546875" style="7" hidden="1"/>
    <col min="4113" max="4113" width="16.42578125" style="7" hidden="1"/>
    <col min="4114" max="4114" width="15.28515625" style="7" hidden="1"/>
    <col min="4115" max="4115" width="17.28515625" style="7" hidden="1"/>
    <col min="4116" max="4116" width="13.5703125" style="7" hidden="1"/>
    <col min="4117" max="4117" width="15.85546875" style="7" hidden="1"/>
    <col min="4118" max="4118" width="15.28515625" style="7" hidden="1"/>
    <col min="4119" max="4119" width="17.28515625" style="7" hidden="1"/>
    <col min="4120" max="4120" width="13.5703125" style="7" hidden="1"/>
    <col min="4121" max="4121" width="16.42578125" style="7" hidden="1"/>
    <col min="4122" max="4122" width="13.28515625" style="7" hidden="1"/>
    <col min="4123" max="4123" width="17.28515625" style="7" hidden="1"/>
    <col min="4124" max="4124" width="13.7109375" style="7" hidden="1"/>
    <col min="4125" max="4125" width="16.5703125" style="7" hidden="1"/>
    <col min="4126" max="4126" width="15" style="7" hidden="1"/>
    <col min="4127" max="4127" width="12.28515625" style="7" hidden="1"/>
    <col min="4128" max="4352" width="28" style="7" hidden="1"/>
    <col min="4353" max="4353" width="20.85546875" style="7" hidden="1"/>
    <col min="4354" max="4354" width="40.42578125" style="7" hidden="1"/>
    <col min="4355" max="4355" width="46.42578125" style="7" hidden="1"/>
    <col min="4356" max="4357" width="28" style="7" hidden="1"/>
    <col min="4358" max="4358" width="15.5703125" style="7" hidden="1"/>
    <col min="4359" max="4359" width="15.7109375" style="7" hidden="1"/>
    <col min="4360" max="4360" width="14.140625" style="7" hidden="1"/>
    <col min="4361" max="4361" width="16.42578125" style="7" hidden="1"/>
    <col min="4362" max="4362" width="15.28515625" style="7" hidden="1"/>
    <col min="4363" max="4363" width="17.28515625" style="7" hidden="1"/>
    <col min="4364" max="4364" width="14" style="7" hidden="1"/>
    <col min="4365" max="4365" width="16.42578125" style="7" hidden="1"/>
    <col min="4366" max="4366" width="15.28515625" style="7" hidden="1"/>
    <col min="4367" max="4367" width="17.85546875" style="7" hidden="1"/>
    <col min="4368" max="4368" width="13.85546875" style="7" hidden="1"/>
    <col min="4369" max="4369" width="16.42578125" style="7" hidden="1"/>
    <col min="4370" max="4370" width="15.28515625" style="7" hidden="1"/>
    <col min="4371" max="4371" width="17.28515625" style="7" hidden="1"/>
    <col min="4372" max="4372" width="13.5703125" style="7" hidden="1"/>
    <col min="4373" max="4373" width="15.85546875" style="7" hidden="1"/>
    <col min="4374" max="4374" width="15.28515625" style="7" hidden="1"/>
    <col min="4375" max="4375" width="17.28515625" style="7" hidden="1"/>
    <col min="4376" max="4376" width="13.5703125" style="7" hidden="1"/>
    <col min="4377" max="4377" width="16.42578125" style="7" hidden="1"/>
    <col min="4378" max="4378" width="13.28515625" style="7" hidden="1"/>
    <col min="4379" max="4379" width="17.28515625" style="7" hidden="1"/>
    <col min="4380" max="4380" width="13.7109375" style="7" hidden="1"/>
    <col min="4381" max="4381" width="16.5703125" style="7" hidden="1"/>
    <col min="4382" max="4382" width="15" style="7" hidden="1"/>
    <col min="4383" max="4383" width="12.28515625" style="7" hidden="1"/>
    <col min="4384" max="4608" width="28" style="7" hidden="1"/>
    <col min="4609" max="4609" width="20.85546875" style="7" hidden="1"/>
    <col min="4610" max="4610" width="40.42578125" style="7" hidden="1"/>
    <col min="4611" max="4611" width="46.42578125" style="7" hidden="1"/>
    <col min="4612" max="4613" width="28" style="7" hidden="1"/>
    <col min="4614" max="4614" width="15.5703125" style="7" hidden="1"/>
    <col min="4615" max="4615" width="15.7109375" style="7" hidden="1"/>
    <col min="4616" max="4616" width="14.140625" style="7" hidden="1"/>
    <col min="4617" max="4617" width="16.42578125" style="7" hidden="1"/>
    <col min="4618" max="4618" width="15.28515625" style="7" hidden="1"/>
    <col min="4619" max="4619" width="17.28515625" style="7" hidden="1"/>
    <col min="4620" max="4620" width="14" style="7" hidden="1"/>
    <col min="4621" max="4621" width="16.42578125" style="7" hidden="1"/>
    <col min="4622" max="4622" width="15.28515625" style="7" hidden="1"/>
    <col min="4623" max="4623" width="17.85546875" style="7" hidden="1"/>
    <col min="4624" max="4624" width="13.85546875" style="7" hidden="1"/>
    <col min="4625" max="4625" width="16.42578125" style="7" hidden="1"/>
    <col min="4626" max="4626" width="15.28515625" style="7" hidden="1"/>
    <col min="4627" max="4627" width="17.28515625" style="7" hidden="1"/>
    <col min="4628" max="4628" width="13.5703125" style="7" hidden="1"/>
    <col min="4629" max="4629" width="15.85546875" style="7" hidden="1"/>
    <col min="4630" max="4630" width="15.28515625" style="7" hidden="1"/>
    <col min="4631" max="4631" width="17.28515625" style="7" hidden="1"/>
    <col min="4632" max="4632" width="13.5703125" style="7" hidden="1"/>
    <col min="4633" max="4633" width="16.42578125" style="7" hidden="1"/>
    <col min="4634" max="4634" width="13.28515625" style="7" hidden="1"/>
    <col min="4635" max="4635" width="17.28515625" style="7" hidden="1"/>
    <col min="4636" max="4636" width="13.7109375" style="7" hidden="1"/>
    <col min="4637" max="4637" width="16.5703125" style="7" hidden="1"/>
    <col min="4638" max="4638" width="15" style="7" hidden="1"/>
    <col min="4639" max="4639" width="12.28515625" style="7" hidden="1"/>
    <col min="4640" max="4864" width="28" style="7" hidden="1"/>
    <col min="4865" max="4865" width="20.85546875" style="7" hidden="1"/>
    <col min="4866" max="4866" width="40.42578125" style="7" hidden="1"/>
    <col min="4867" max="4867" width="46.42578125" style="7" hidden="1"/>
    <col min="4868" max="4869" width="28" style="7" hidden="1"/>
    <col min="4870" max="4870" width="15.5703125" style="7" hidden="1"/>
    <col min="4871" max="4871" width="15.7109375" style="7" hidden="1"/>
    <col min="4872" max="4872" width="14.140625" style="7" hidden="1"/>
    <col min="4873" max="4873" width="16.42578125" style="7" hidden="1"/>
    <col min="4874" max="4874" width="15.28515625" style="7" hidden="1"/>
    <col min="4875" max="4875" width="17.28515625" style="7" hidden="1"/>
    <col min="4876" max="4876" width="14" style="7" hidden="1"/>
    <col min="4877" max="4877" width="16.42578125" style="7" hidden="1"/>
    <col min="4878" max="4878" width="15.28515625" style="7" hidden="1"/>
    <col min="4879" max="4879" width="17.85546875" style="7" hidden="1"/>
    <col min="4880" max="4880" width="13.85546875" style="7" hidden="1"/>
    <col min="4881" max="4881" width="16.42578125" style="7" hidden="1"/>
    <col min="4882" max="4882" width="15.28515625" style="7" hidden="1"/>
    <col min="4883" max="4883" width="17.28515625" style="7" hidden="1"/>
    <col min="4884" max="4884" width="13.5703125" style="7" hidden="1"/>
    <col min="4885" max="4885" width="15.85546875" style="7" hidden="1"/>
    <col min="4886" max="4886" width="15.28515625" style="7" hidden="1"/>
    <col min="4887" max="4887" width="17.28515625" style="7" hidden="1"/>
    <col min="4888" max="4888" width="13.5703125" style="7" hidden="1"/>
    <col min="4889" max="4889" width="16.42578125" style="7" hidden="1"/>
    <col min="4890" max="4890" width="13.28515625" style="7" hidden="1"/>
    <col min="4891" max="4891" width="17.28515625" style="7" hidden="1"/>
    <col min="4892" max="4892" width="13.7109375" style="7" hidden="1"/>
    <col min="4893" max="4893" width="16.5703125" style="7" hidden="1"/>
    <col min="4894" max="4894" width="15" style="7" hidden="1"/>
    <col min="4895" max="4895" width="12.28515625" style="7" hidden="1"/>
    <col min="4896" max="5120" width="28" style="7" hidden="1"/>
    <col min="5121" max="5121" width="20.85546875" style="7" hidden="1"/>
    <col min="5122" max="5122" width="40.42578125" style="7" hidden="1"/>
    <col min="5123" max="5123" width="46.42578125" style="7" hidden="1"/>
    <col min="5124" max="5125" width="28" style="7" hidden="1"/>
    <col min="5126" max="5126" width="15.5703125" style="7" hidden="1"/>
    <col min="5127" max="5127" width="15.7109375" style="7" hidden="1"/>
    <col min="5128" max="5128" width="14.140625" style="7" hidden="1"/>
    <col min="5129" max="5129" width="16.42578125" style="7" hidden="1"/>
    <col min="5130" max="5130" width="15.28515625" style="7" hidden="1"/>
    <col min="5131" max="5131" width="17.28515625" style="7" hidden="1"/>
    <col min="5132" max="5132" width="14" style="7" hidden="1"/>
    <col min="5133" max="5133" width="16.42578125" style="7" hidden="1"/>
    <col min="5134" max="5134" width="15.28515625" style="7" hidden="1"/>
    <col min="5135" max="5135" width="17.85546875" style="7" hidden="1"/>
    <col min="5136" max="5136" width="13.85546875" style="7" hidden="1"/>
    <col min="5137" max="5137" width="16.42578125" style="7" hidden="1"/>
    <col min="5138" max="5138" width="15.28515625" style="7" hidden="1"/>
    <col min="5139" max="5139" width="17.28515625" style="7" hidden="1"/>
    <col min="5140" max="5140" width="13.5703125" style="7" hidden="1"/>
    <col min="5141" max="5141" width="15.85546875" style="7" hidden="1"/>
    <col min="5142" max="5142" width="15.28515625" style="7" hidden="1"/>
    <col min="5143" max="5143" width="17.28515625" style="7" hidden="1"/>
    <col min="5144" max="5144" width="13.5703125" style="7" hidden="1"/>
    <col min="5145" max="5145" width="16.42578125" style="7" hidden="1"/>
    <col min="5146" max="5146" width="13.28515625" style="7" hidden="1"/>
    <col min="5147" max="5147" width="17.28515625" style="7" hidden="1"/>
    <col min="5148" max="5148" width="13.7109375" style="7" hidden="1"/>
    <col min="5149" max="5149" width="16.5703125" style="7" hidden="1"/>
    <col min="5150" max="5150" width="15" style="7" hidden="1"/>
    <col min="5151" max="5151" width="12.28515625" style="7" hidden="1"/>
    <col min="5152" max="5376" width="28" style="7" hidden="1"/>
    <col min="5377" max="5377" width="20.85546875" style="7" hidden="1"/>
    <col min="5378" max="5378" width="40.42578125" style="7" hidden="1"/>
    <col min="5379" max="5379" width="46.42578125" style="7" hidden="1"/>
    <col min="5380" max="5381" width="28" style="7" hidden="1"/>
    <col min="5382" max="5382" width="15.5703125" style="7" hidden="1"/>
    <col min="5383" max="5383" width="15.7109375" style="7" hidden="1"/>
    <col min="5384" max="5384" width="14.140625" style="7" hidden="1"/>
    <col min="5385" max="5385" width="16.42578125" style="7" hidden="1"/>
    <col min="5386" max="5386" width="15.28515625" style="7" hidden="1"/>
    <col min="5387" max="5387" width="17.28515625" style="7" hidden="1"/>
    <col min="5388" max="5388" width="14" style="7" hidden="1"/>
    <col min="5389" max="5389" width="16.42578125" style="7" hidden="1"/>
    <col min="5390" max="5390" width="15.28515625" style="7" hidden="1"/>
    <col min="5391" max="5391" width="17.85546875" style="7" hidden="1"/>
    <col min="5392" max="5392" width="13.85546875" style="7" hidden="1"/>
    <col min="5393" max="5393" width="16.42578125" style="7" hidden="1"/>
    <col min="5394" max="5394" width="15.28515625" style="7" hidden="1"/>
    <col min="5395" max="5395" width="17.28515625" style="7" hidden="1"/>
    <col min="5396" max="5396" width="13.5703125" style="7" hidden="1"/>
    <col min="5397" max="5397" width="15.85546875" style="7" hidden="1"/>
    <col min="5398" max="5398" width="15.28515625" style="7" hidden="1"/>
    <col min="5399" max="5399" width="17.28515625" style="7" hidden="1"/>
    <col min="5400" max="5400" width="13.5703125" style="7" hidden="1"/>
    <col min="5401" max="5401" width="16.42578125" style="7" hidden="1"/>
    <col min="5402" max="5402" width="13.28515625" style="7" hidden="1"/>
    <col min="5403" max="5403" width="17.28515625" style="7" hidden="1"/>
    <col min="5404" max="5404" width="13.7109375" style="7" hidden="1"/>
    <col min="5405" max="5405" width="16.5703125" style="7" hidden="1"/>
    <col min="5406" max="5406" width="15" style="7" hidden="1"/>
    <col min="5407" max="5407" width="12.28515625" style="7" hidden="1"/>
    <col min="5408" max="5632" width="28" style="7" hidden="1"/>
    <col min="5633" max="5633" width="20.85546875" style="7" hidden="1"/>
    <col min="5634" max="5634" width="40.42578125" style="7" hidden="1"/>
    <col min="5635" max="5635" width="46.42578125" style="7" hidden="1"/>
    <col min="5636" max="5637" width="28" style="7" hidden="1"/>
    <col min="5638" max="5638" width="15.5703125" style="7" hidden="1"/>
    <col min="5639" max="5639" width="15.7109375" style="7" hidden="1"/>
    <col min="5640" max="5640" width="14.140625" style="7" hidden="1"/>
    <col min="5641" max="5641" width="16.42578125" style="7" hidden="1"/>
    <col min="5642" max="5642" width="15.28515625" style="7" hidden="1"/>
    <col min="5643" max="5643" width="17.28515625" style="7" hidden="1"/>
    <col min="5644" max="5644" width="14" style="7" hidden="1"/>
    <col min="5645" max="5645" width="16.42578125" style="7" hidden="1"/>
    <col min="5646" max="5646" width="15.28515625" style="7" hidden="1"/>
    <col min="5647" max="5647" width="17.85546875" style="7" hidden="1"/>
    <col min="5648" max="5648" width="13.85546875" style="7" hidden="1"/>
    <col min="5649" max="5649" width="16.42578125" style="7" hidden="1"/>
    <col min="5650" max="5650" width="15.28515625" style="7" hidden="1"/>
    <col min="5651" max="5651" width="17.28515625" style="7" hidden="1"/>
    <col min="5652" max="5652" width="13.5703125" style="7" hidden="1"/>
    <col min="5653" max="5653" width="15.85546875" style="7" hidden="1"/>
    <col min="5654" max="5654" width="15.28515625" style="7" hidden="1"/>
    <col min="5655" max="5655" width="17.28515625" style="7" hidden="1"/>
    <col min="5656" max="5656" width="13.5703125" style="7" hidden="1"/>
    <col min="5657" max="5657" width="16.42578125" style="7" hidden="1"/>
    <col min="5658" max="5658" width="13.28515625" style="7" hidden="1"/>
    <col min="5659" max="5659" width="17.28515625" style="7" hidden="1"/>
    <col min="5660" max="5660" width="13.7109375" style="7" hidden="1"/>
    <col min="5661" max="5661" width="16.5703125" style="7" hidden="1"/>
    <col min="5662" max="5662" width="15" style="7" hidden="1"/>
    <col min="5663" max="5663" width="12.28515625" style="7" hidden="1"/>
    <col min="5664" max="5888" width="28" style="7" hidden="1"/>
    <col min="5889" max="5889" width="20.85546875" style="7" hidden="1"/>
    <col min="5890" max="5890" width="40.42578125" style="7" hidden="1"/>
    <col min="5891" max="5891" width="46.42578125" style="7" hidden="1"/>
    <col min="5892" max="5893" width="28" style="7" hidden="1"/>
    <col min="5894" max="5894" width="15.5703125" style="7" hidden="1"/>
    <col min="5895" max="5895" width="15.7109375" style="7" hidden="1"/>
    <col min="5896" max="5896" width="14.140625" style="7" hidden="1"/>
    <col min="5897" max="5897" width="16.42578125" style="7" hidden="1"/>
    <col min="5898" max="5898" width="15.28515625" style="7" hidden="1"/>
    <col min="5899" max="5899" width="17.28515625" style="7" hidden="1"/>
    <col min="5900" max="5900" width="14" style="7" hidden="1"/>
    <col min="5901" max="5901" width="16.42578125" style="7" hidden="1"/>
    <col min="5902" max="5902" width="15.28515625" style="7" hidden="1"/>
    <col min="5903" max="5903" width="17.85546875" style="7" hidden="1"/>
    <col min="5904" max="5904" width="13.85546875" style="7" hidden="1"/>
    <col min="5905" max="5905" width="16.42578125" style="7" hidden="1"/>
    <col min="5906" max="5906" width="15.28515625" style="7" hidden="1"/>
    <col min="5907" max="5907" width="17.28515625" style="7" hidden="1"/>
    <col min="5908" max="5908" width="13.5703125" style="7" hidden="1"/>
    <col min="5909" max="5909" width="15.85546875" style="7" hidden="1"/>
    <col min="5910" max="5910" width="15.28515625" style="7" hidden="1"/>
    <col min="5911" max="5911" width="17.28515625" style="7" hidden="1"/>
    <col min="5912" max="5912" width="13.5703125" style="7" hidden="1"/>
    <col min="5913" max="5913" width="16.42578125" style="7" hidden="1"/>
    <col min="5914" max="5914" width="13.28515625" style="7" hidden="1"/>
    <col min="5915" max="5915" width="17.28515625" style="7" hidden="1"/>
    <col min="5916" max="5916" width="13.7109375" style="7" hidden="1"/>
    <col min="5917" max="5917" width="16.5703125" style="7" hidden="1"/>
    <col min="5918" max="5918" width="15" style="7" hidden="1"/>
    <col min="5919" max="5919" width="12.28515625" style="7" hidden="1"/>
    <col min="5920" max="6144" width="28" style="7" hidden="1"/>
    <col min="6145" max="6145" width="20.85546875" style="7" hidden="1"/>
    <col min="6146" max="6146" width="40.42578125" style="7" hidden="1"/>
    <col min="6147" max="6147" width="46.42578125" style="7" hidden="1"/>
    <col min="6148" max="6149" width="28" style="7" hidden="1"/>
    <col min="6150" max="6150" width="15.5703125" style="7" hidden="1"/>
    <col min="6151" max="6151" width="15.7109375" style="7" hidden="1"/>
    <col min="6152" max="6152" width="14.140625" style="7" hidden="1"/>
    <col min="6153" max="6153" width="16.42578125" style="7" hidden="1"/>
    <col min="6154" max="6154" width="15.28515625" style="7" hidden="1"/>
    <col min="6155" max="6155" width="17.28515625" style="7" hidden="1"/>
    <col min="6156" max="6156" width="14" style="7" hidden="1"/>
    <col min="6157" max="6157" width="16.42578125" style="7" hidden="1"/>
    <col min="6158" max="6158" width="15.28515625" style="7" hidden="1"/>
    <col min="6159" max="6159" width="17.85546875" style="7" hidden="1"/>
    <col min="6160" max="6160" width="13.85546875" style="7" hidden="1"/>
    <col min="6161" max="6161" width="16.42578125" style="7" hidden="1"/>
    <col min="6162" max="6162" width="15.28515625" style="7" hidden="1"/>
    <col min="6163" max="6163" width="17.28515625" style="7" hidden="1"/>
    <col min="6164" max="6164" width="13.5703125" style="7" hidden="1"/>
    <col min="6165" max="6165" width="15.85546875" style="7" hidden="1"/>
    <col min="6166" max="6166" width="15.28515625" style="7" hidden="1"/>
    <col min="6167" max="6167" width="17.28515625" style="7" hidden="1"/>
    <col min="6168" max="6168" width="13.5703125" style="7" hidden="1"/>
    <col min="6169" max="6169" width="16.42578125" style="7" hidden="1"/>
    <col min="6170" max="6170" width="13.28515625" style="7" hidden="1"/>
    <col min="6171" max="6171" width="17.28515625" style="7" hidden="1"/>
    <col min="6172" max="6172" width="13.7109375" style="7" hidden="1"/>
    <col min="6173" max="6173" width="16.5703125" style="7" hidden="1"/>
    <col min="6174" max="6174" width="15" style="7" hidden="1"/>
    <col min="6175" max="6175" width="12.28515625" style="7" hidden="1"/>
    <col min="6176" max="6400" width="28" style="7" hidden="1"/>
    <col min="6401" max="6401" width="20.85546875" style="7" hidden="1"/>
    <col min="6402" max="6402" width="40.42578125" style="7" hidden="1"/>
    <col min="6403" max="6403" width="46.42578125" style="7" hidden="1"/>
    <col min="6404" max="6405" width="28" style="7" hidden="1"/>
    <col min="6406" max="6406" width="15.5703125" style="7" hidden="1"/>
    <col min="6407" max="6407" width="15.7109375" style="7" hidden="1"/>
    <col min="6408" max="6408" width="14.140625" style="7" hidden="1"/>
    <col min="6409" max="6409" width="16.42578125" style="7" hidden="1"/>
    <col min="6410" max="6410" width="15.28515625" style="7" hidden="1"/>
    <col min="6411" max="6411" width="17.28515625" style="7" hidden="1"/>
    <col min="6412" max="6412" width="14" style="7" hidden="1"/>
    <col min="6413" max="6413" width="16.42578125" style="7" hidden="1"/>
    <col min="6414" max="6414" width="15.28515625" style="7" hidden="1"/>
    <col min="6415" max="6415" width="17.85546875" style="7" hidden="1"/>
    <col min="6416" max="6416" width="13.85546875" style="7" hidden="1"/>
    <col min="6417" max="6417" width="16.42578125" style="7" hidden="1"/>
    <col min="6418" max="6418" width="15.28515625" style="7" hidden="1"/>
    <col min="6419" max="6419" width="17.28515625" style="7" hidden="1"/>
    <col min="6420" max="6420" width="13.5703125" style="7" hidden="1"/>
    <col min="6421" max="6421" width="15.85546875" style="7" hidden="1"/>
    <col min="6422" max="6422" width="15.28515625" style="7" hidden="1"/>
    <col min="6423" max="6423" width="17.28515625" style="7" hidden="1"/>
    <col min="6424" max="6424" width="13.5703125" style="7" hidden="1"/>
    <col min="6425" max="6425" width="16.42578125" style="7" hidden="1"/>
    <col min="6426" max="6426" width="13.28515625" style="7" hidden="1"/>
    <col min="6427" max="6427" width="17.28515625" style="7" hidden="1"/>
    <col min="6428" max="6428" width="13.7109375" style="7" hidden="1"/>
    <col min="6429" max="6429" width="16.5703125" style="7" hidden="1"/>
    <col min="6430" max="6430" width="15" style="7" hidden="1"/>
    <col min="6431" max="6431" width="12.28515625" style="7" hidden="1"/>
    <col min="6432" max="6656" width="28" style="7" hidden="1"/>
    <col min="6657" max="6657" width="20.85546875" style="7" hidden="1"/>
    <col min="6658" max="6658" width="40.42578125" style="7" hidden="1"/>
    <col min="6659" max="6659" width="46.42578125" style="7" hidden="1"/>
    <col min="6660" max="6661" width="28" style="7" hidden="1"/>
    <col min="6662" max="6662" width="15.5703125" style="7" hidden="1"/>
    <col min="6663" max="6663" width="15.7109375" style="7" hidden="1"/>
    <col min="6664" max="6664" width="14.140625" style="7" hidden="1"/>
    <col min="6665" max="6665" width="16.42578125" style="7" hidden="1"/>
    <col min="6666" max="6666" width="15.28515625" style="7" hidden="1"/>
    <col min="6667" max="6667" width="17.28515625" style="7" hidden="1"/>
    <col min="6668" max="6668" width="14" style="7" hidden="1"/>
    <col min="6669" max="6669" width="16.42578125" style="7" hidden="1"/>
    <col min="6670" max="6670" width="15.28515625" style="7" hidden="1"/>
    <col min="6671" max="6671" width="17.85546875" style="7" hidden="1"/>
    <col min="6672" max="6672" width="13.85546875" style="7" hidden="1"/>
    <col min="6673" max="6673" width="16.42578125" style="7" hidden="1"/>
    <col min="6674" max="6674" width="15.28515625" style="7" hidden="1"/>
    <col min="6675" max="6675" width="17.28515625" style="7" hidden="1"/>
    <col min="6676" max="6676" width="13.5703125" style="7" hidden="1"/>
    <col min="6677" max="6677" width="15.85546875" style="7" hidden="1"/>
    <col min="6678" max="6678" width="15.28515625" style="7" hidden="1"/>
    <col min="6679" max="6679" width="17.28515625" style="7" hidden="1"/>
    <col min="6680" max="6680" width="13.5703125" style="7" hidden="1"/>
    <col min="6681" max="6681" width="16.42578125" style="7" hidden="1"/>
    <col min="6682" max="6682" width="13.28515625" style="7" hidden="1"/>
    <col min="6683" max="6683" width="17.28515625" style="7" hidden="1"/>
    <col min="6684" max="6684" width="13.7109375" style="7" hidden="1"/>
    <col min="6685" max="6685" width="16.5703125" style="7" hidden="1"/>
    <col min="6686" max="6686" width="15" style="7" hidden="1"/>
    <col min="6687" max="6687" width="12.28515625" style="7" hidden="1"/>
    <col min="6688" max="6912" width="28" style="7" hidden="1"/>
    <col min="6913" max="6913" width="20.85546875" style="7" hidden="1"/>
    <col min="6914" max="6914" width="40.42578125" style="7" hidden="1"/>
    <col min="6915" max="6915" width="46.42578125" style="7" hidden="1"/>
    <col min="6916" max="6917" width="28" style="7" hidden="1"/>
    <col min="6918" max="6918" width="15.5703125" style="7" hidden="1"/>
    <col min="6919" max="6919" width="15.7109375" style="7" hidden="1"/>
    <col min="6920" max="6920" width="14.140625" style="7" hidden="1"/>
    <col min="6921" max="6921" width="16.42578125" style="7" hidden="1"/>
    <col min="6922" max="6922" width="15.28515625" style="7" hidden="1"/>
    <col min="6923" max="6923" width="17.28515625" style="7" hidden="1"/>
    <col min="6924" max="6924" width="14" style="7" hidden="1"/>
    <col min="6925" max="6925" width="16.42578125" style="7" hidden="1"/>
    <col min="6926" max="6926" width="15.28515625" style="7" hidden="1"/>
    <col min="6927" max="6927" width="17.85546875" style="7" hidden="1"/>
    <col min="6928" max="6928" width="13.85546875" style="7" hidden="1"/>
    <col min="6929" max="6929" width="16.42578125" style="7" hidden="1"/>
    <col min="6930" max="6930" width="15.28515625" style="7" hidden="1"/>
    <col min="6931" max="6931" width="17.28515625" style="7" hidden="1"/>
    <col min="6932" max="6932" width="13.5703125" style="7" hidden="1"/>
    <col min="6933" max="6933" width="15.85546875" style="7" hidden="1"/>
    <col min="6934" max="6934" width="15.28515625" style="7" hidden="1"/>
    <col min="6935" max="6935" width="17.28515625" style="7" hidden="1"/>
    <col min="6936" max="6936" width="13.5703125" style="7" hidden="1"/>
    <col min="6937" max="6937" width="16.42578125" style="7" hidden="1"/>
    <col min="6938" max="6938" width="13.28515625" style="7" hidden="1"/>
    <col min="6939" max="6939" width="17.28515625" style="7" hidden="1"/>
    <col min="6940" max="6940" width="13.7109375" style="7" hidden="1"/>
    <col min="6941" max="6941" width="16.5703125" style="7" hidden="1"/>
    <col min="6942" max="6942" width="15" style="7" hidden="1"/>
    <col min="6943" max="6943" width="12.28515625" style="7" hidden="1"/>
    <col min="6944" max="7168" width="28" style="7" hidden="1"/>
    <col min="7169" max="7169" width="20.85546875" style="7" hidden="1"/>
    <col min="7170" max="7170" width="40.42578125" style="7" hidden="1"/>
    <col min="7171" max="7171" width="46.42578125" style="7" hidden="1"/>
    <col min="7172" max="7173" width="28" style="7" hidden="1"/>
    <col min="7174" max="7174" width="15.5703125" style="7" hidden="1"/>
    <col min="7175" max="7175" width="15.7109375" style="7" hidden="1"/>
    <col min="7176" max="7176" width="14.140625" style="7" hidden="1"/>
    <col min="7177" max="7177" width="16.42578125" style="7" hidden="1"/>
    <col min="7178" max="7178" width="15.28515625" style="7" hidden="1"/>
    <col min="7179" max="7179" width="17.28515625" style="7" hidden="1"/>
    <col min="7180" max="7180" width="14" style="7" hidden="1"/>
    <col min="7181" max="7181" width="16.42578125" style="7" hidden="1"/>
    <col min="7182" max="7182" width="15.28515625" style="7" hidden="1"/>
    <col min="7183" max="7183" width="17.85546875" style="7" hidden="1"/>
    <col min="7184" max="7184" width="13.85546875" style="7" hidden="1"/>
    <col min="7185" max="7185" width="16.42578125" style="7" hidden="1"/>
    <col min="7186" max="7186" width="15.28515625" style="7" hidden="1"/>
    <col min="7187" max="7187" width="17.28515625" style="7" hidden="1"/>
    <col min="7188" max="7188" width="13.5703125" style="7" hidden="1"/>
    <col min="7189" max="7189" width="15.85546875" style="7" hidden="1"/>
    <col min="7190" max="7190" width="15.28515625" style="7" hidden="1"/>
    <col min="7191" max="7191" width="17.28515625" style="7" hidden="1"/>
    <col min="7192" max="7192" width="13.5703125" style="7" hidden="1"/>
    <col min="7193" max="7193" width="16.42578125" style="7" hidden="1"/>
    <col min="7194" max="7194" width="13.28515625" style="7" hidden="1"/>
    <col min="7195" max="7195" width="17.28515625" style="7" hidden="1"/>
    <col min="7196" max="7196" width="13.7109375" style="7" hidden="1"/>
    <col min="7197" max="7197" width="16.5703125" style="7" hidden="1"/>
    <col min="7198" max="7198" width="15" style="7" hidden="1"/>
    <col min="7199" max="7199" width="12.28515625" style="7" hidden="1"/>
    <col min="7200" max="7424" width="28" style="7" hidden="1"/>
    <col min="7425" max="7425" width="20.85546875" style="7" hidden="1"/>
    <col min="7426" max="7426" width="40.42578125" style="7" hidden="1"/>
    <col min="7427" max="7427" width="46.42578125" style="7" hidden="1"/>
    <col min="7428" max="7429" width="28" style="7" hidden="1"/>
    <col min="7430" max="7430" width="15.5703125" style="7" hidden="1"/>
    <col min="7431" max="7431" width="15.7109375" style="7" hidden="1"/>
    <col min="7432" max="7432" width="14.140625" style="7" hidden="1"/>
    <col min="7433" max="7433" width="16.42578125" style="7" hidden="1"/>
    <col min="7434" max="7434" width="15.28515625" style="7" hidden="1"/>
    <col min="7435" max="7435" width="17.28515625" style="7" hidden="1"/>
    <col min="7436" max="7436" width="14" style="7" hidden="1"/>
    <col min="7437" max="7437" width="16.42578125" style="7" hidden="1"/>
    <col min="7438" max="7438" width="15.28515625" style="7" hidden="1"/>
    <col min="7439" max="7439" width="17.85546875" style="7" hidden="1"/>
    <col min="7440" max="7440" width="13.85546875" style="7" hidden="1"/>
    <col min="7441" max="7441" width="16.42578125" style="7" hidden="1"/>
    <col min="7442" max="7442" width="15.28515625" style="7" hidden="1"/>
    <col min="7443" max="7443" width="17.28515625" style="7" hidden="1"/>
    <col min="7444" max="7444" width="13.5703125" style="7" hidden="1"/>
    <col min="7445" max="7445" width="15.85546875" style="7" hidden="1"/>
    <col min="7446" max="7446" width="15.28515625" style="7" hidden="1"/>
    <col min="7447" max="7447" width="17.28515625" style="7" hidden="1"/>
    <col min="7448" max="7448" width="13.5703125" style="7" hidden="1"/>
    <col min="7449" max="7449" width="16.42578125" style="7" hidden="1"/>
    <col min="7450" max="7450" width="13.28515625" style="7" hidden="1"/>
    <col min="7451" max="7451" width="17.28515625" style="7" hidden="1"/>
    <col min="7452" max="7452" width="13.7109375" style="7" hidden="1"/>
    <col min="7453" max="7453" width="16.5703125" style="7" hidden="1"/>
    <col min="7454" max="7454" width="15" style="7" hidden="1"/>
    <col min="7455" max="7455" width="12.28515625" style="7" hidden="1"/>
    <col min="7456" max="7680" width="28" style="7" hidden="1"/>
    <col min="7681" max="7681" width="20.85546875" style="7" hidden="1"/>
    <col min="7682" max="7682" width="40.42578125" style="7" hidden="1"/>
    <col min="7683" max="7683" width="46.42578125" style="7" hidden="1"/>
    <col min="7684" max="7685" width="28" style="7" hidden="1"/>
    <col min="7686" max="7686" width="15.5703125" style="7" hidden="1"/>
    <col min="7687" max="7687" width="15.7109375" style="7" hidden="1"/>
    <col min="7688" max="7688" width="14.140625" style="7" hidden="1"/>
    <col min="7689" max="7689" width="16.42578125" style="7" hidden="1"/>
    <col min="7690" max="7690" width="15.28515625" style="7" hidden="1"/>
    <col min="7691" max="7691" width="17.28515625" style="7" hidden="1"/>
    <col min="7692" max="7692" width="14" style="7" hidden="1"/>
    <col min="7693" max="7693" width="16.42578125" style="7" hidden="1"/>
    <col min="7694" max="7694" width="15.28515625" style="7" hidden="1"/>
    <col min="7695" max="7695" width="17.85546875" style="7" hidden="1"/>
    <col min="7696" max="7696" width="13.85546875" style="7" hidden="1"/>
    <col min="7697" max="7697" width="16.42578125" style="7" hidden="1"/>
    <col min="7698" max="7698" width="15.28515625" style="7" hidden="1"/>
    <col min="7699" max="7699" width="17.28515625" style="7" hidden="1"/>
    <col min="7700" max="7700" width="13.5703125" style="7" hidden="1"/>
    <col min="7701" max="7701" width="15.85546875" style="7" hidden="1"/>
    <col min="7702" max="7702" width="15.28515625" style="7" hidden="1"/>
    <col min="7703" max="7703" width="17.28515625" style="7" hidden="1"/>
    <col min="7704" max="7704" width="13.5703125" style="7" hidden="1"/>
    <col min="7705" max="7705" width="16.42578125" style="7" hidden="1"/>
    <col min="7706" max="7706" width="13.28515625" style="7" hidden="1"/>
    <col min="7707" max="7707" width="17.28515625" style="7" hidden="1"/>
    <col min="7708" max="7708" width="13.7109375" style="7" hidden="1"/>
    <col min="7709" max="7709" width="16.5703125" style="7" hidden="1"/>
    <col min="7710" max="7710" width="15" style="7" hidden="1"/>
    <col min="7711" max="7711" width="12.28515625" style="7" hidden="1"/>
    <col min="7712" max="7936" width="28" style="7" hidden="1"/>
    <col min="7937" max="7937" width="20.85546875" style="7" hidden="1"/>
    <col min="7938" max="7938" width="40.42578125" style="7" hidden="1"/>
    <col min="7939" max="7939" width="46.42578125" style="7" hidden="1"/>
    <col min="7940" max="7941" width="28" style="7" hidden="1"/>
    <col min="7942" max="7942" width="15.5703125" style="7" hidden="1"/>
    <col min="7943" max="7943" width="15.7109375" style="7" hidden="1"/>
    <col min="7944" max="7944" width="14.140625" style="7" hidden="1"/>
    <col min="7945" max="7945" width="16.42578125" style="7" hidden="1"/>
    <col min="7946" max="7946" width="15.28515625" style="7" hidden="1"/>
    <col min="7947" max="7947" width="17.28515625" style="7" hidden="1"/>
    <col min="7948" max="7948" width="14" style="7" hidden="1"/>
    <col min="7949" max="7949" width="16.42578125" style="7" hidden="1"/>
    <col min="7950" max="7950" width="15.28515625" style="7" hidden="1"/>
    <col min="7951" max="7951" width="17.85546875" style="7" hidden="1"/>
    <col min="7952" max="7952" width="13.85546875" style="7" hidden="1"/>
    <col min="7953" max="7953" width="16.42578125" style="7" hidden="1"/>
    <col min="7954" max="7954" width="15.28515625" style="7" hidden="1"/>
    <col min="7955" max="7955" width="17.28515625" style="7" hidden="1"/>
    <col min="7956" max="7956" width="13.5703125" style="7" hidden="1"/>
    <col min="7957" max="7957" width="15.85546875" style="7" hidden="1"/>
    <col min="7958" max="7958" width="15.28515625" style="7" hidden="1"/>
    <col min="7959" max="7959" width="17.28515625" style="7" hidden="1"/>
    <col min="7960" max="7960" width="13.5703125" style="7" hidden="1"/>
    <col min="7961" max="7961" width="16.42578125" style="7" hidden="1"/>
    <col min="7962" max="7962" width="13.28515625" style="7" hidden="1"/>
    <col min="7963" max="7963" width="17.28515625" style="7" hidden="1"/>
    <col min="7964" max="7964" width="13.7109375" style="7" hidden="1"/>
    <col min="7965" max="7965" width="16.5703125" style="7" hidden="1"/>
    <col min="7966" max="7966" width="15" style="7" hidden="1"/>
    <col min="7967" max="7967" width="12.28515625" style="7" hidden="1"/>
    <col min="7968" max="8192" width="28" style="7" hidden="1"/>
    <col min="8193" max="8193" width="20.85546875" style="7" hidden="1"/>
    <col min="8194" max="8194" width="40.42578125" style="7" hidden="1"/>
    <col min="8195" max="8195" width="46.42578125" style="7" hidden="1"/>
    <col min="8196" max="8197" width="28" style="7" hidden="1"/>
    <col min="8198" max="8198" width="15.5703125" style="7" hidden="1"/>
    <col min="8199" max="8199" width="15.7109375" style="7" hidden="1"/>
    <col min="8200" max="8200" width="14.140625" style="7" hidden="1"/>
    <col min="8201" max="8201" width="16.42578125" style="7" hidden="1"/>
    <col min="8202" max="8202" width="15.28515625" style="7" hidden="1"/>
    <col min="8203" max="8203" width="17.28515625" style="7" hidden="1"/>
    <col min="8204" max="8204" width="14" style="7" hidden="1"/>
    <col min="8205" max="8205" width="16.42578125" style="7" hidden="1"/>
    <col min="8206" max="8206" width="15.28515625" style="7" hidden="1"/>
    <col min="8207" max="8207" width="17.85546875" style="7" hidden="1"/>
    <col min="8208" max="8208" width="13.85546875" style="7" hidden="1"/>
    <col min="8209" max="8209" width="16.42578125" style="7" hidden="1"/>
    <col min="8210" max="8210" width="15.28515625" style="7" hidden="1"/>
    <col min="8211" max="8211" width="17.28515625" style="7" hidden="1"/>
    <col min="8212" max="8212" width="13.5703125" style="7" hidden="1"/>
    <col min="8213" max="8213" width="15.85546875" style="7" hidden="1"/>
    <col min="8214" max="8214" width="15.28515625" style="7" hidden="1"/>
    <col min="8215" max="8215" width="17.28515625" style="7" hidden="1"/>
    <col min="8216" max="8216" width="13.5703125" style="7" hidden="1"/>
    <col min="8217" max="8217" width="16.42578125" style="7" hidden="1"/>
    <col min="8218" max="8218" width="13.28515625" style="7" hidden="1"/>
    <col min="8219" max="8219" width="17.28515625" style="7" hidden="1"/>
    <col min="8220" max="8220" width="13.7109375" style="7" hidden="1"/>
    <col min="8221" max="8221" width="16.5703125" style="7" hidden="1"/>
    <col min="8222" max="8222" width="15" style="7" hidden="1"/>
    <col min="8223" max="8223" width="12.28515625" style="7" hidden="1"/>
    <col min="8224" max="8448" width="28" style="7" hidden="1"/>
    <col min="8449" max="8449" width="20.85546875" style="7" hidden="1"/>
    <col min="8450" max="8450" width="40.42578125" style="7" hidden="1"/>
    <col min="8451" max="8451" width="46.42578125" style="7" hidden="1"/>
    <col min="8452" max="8453" width="28" style="7" hidden="1"/>
    <col min="8454" max="8454" width="15.5703125" style="7" hidden="1"/>
    <col min="8455" max="8455" width="15.7109375" style="7" hidden="1"/>
    <col min="8456" max="8456" width="14.140625" style="7" hidden="1"/>
    <col min="8457" max="8457" width="16.42578125" style="7" hidden="1"/>
    <col min="8458" max="8458" width="15.28515625" style="7" hidden="1"/>
    <col min="8459" max="8459" width="17.28515625" style="7" hidden="1"/>
    <col min="8460" max="8460" width="14" style="7" hidden="1"/>
    <col min="8461" max="8461" width="16.42578125" style="7" hidden="1"/>
    <col min="8462" max="8462" width="15.28515625" style="7" hidden="1"/>
    <col min="8463" max="8463" width="17.85546875" style="7" hidden="1"/>
    <col min="8464" max="8464" width="13.85546875" style="7" hidden="1"/>
    <col min="8465" max="8465" width="16.42578125" style="7" hidden="1"/>
    <col min="8466" max="8466" width="15.28515625" style="7" hidden="1"/>
    <col min="8467" max="8467" width="17.28515625" style="7" hidden="1"/>
    <col min="8468" max="8468" width="13.5703125" style="7" hidden="1"/>
    <col min="8469" max="8469" width="15.85546875" style="7" hidden="1"/>
    <col min="8470" max="8470" width="15.28515625" style="7" hidden="1"/>
    <col min="8471" max="8471" width="17.28515625" style="7" hidden="1"/>
    <col min="8472" max="8472" width="13.5703125" style="7" hidden="1"/>
    <col min="8473" max="8473" width="16.42578125" style="7" hidden="1"/>
    <col min="8474" max="8474" width="13.28515625" style="7" hidden="1"/>
    <col min="8475" max="8475" width="17.28515625" style="7" hidden="1"/>
    <col min="8476" max="8476" width="13.7109375" style="7" hidden="1"/>
    <col min="8477" max="8477" width="16.5703125" style="7" hidden="1"/>
    <col min="8478" max="8478" width="15" style="7" hidden="1"/>
    <col min="8479" max="8479" width="12.28515625" style="7" hidden="1"/>
    <col min="8480" max="8704" width="28" style="7" hidden="1"/>
    <col min="8705" max="8705" width="20.85546875" style="7" hidden="1"/>
    <col min="8706" max="8706" width="40.42578125" style="7" hidden="1"/>
    <col min="8707" max="8707" width="46.42578125" style="7" hidden="1"/>
    <col min="8708" max="8709" width="28" style="7" hidden="1"/>
    <col min="8710" max="8710" width="15.5703125" style="7" hidden="1"/>
    <col min="8711" max="8711" width="15.7109375" style="7" hidden="1"/>
    <col min="8712" max="8712" width="14.140625" style="7" hidden="1"/>
    <col min="8713" max="8713" width="16.42578125" style="7" hidden="1"/>
    <col min="8714" max="8714" width="15.28515625" style="7" hidden="1"/>
    <col min="8715" max="8715" width="17.28515625" style="7" hidden="1"/>
    <col min="8716" max="8716" width="14" style="7" hidden="1"/>
    <col min="8717" max="8717" width="16.42578125" style="7" hidden="1"/>
    <col min="8718" max="8718" width="15.28515625" style="7" hidden="1"/>
    <col min="8719" max="8719" width="17.85546875" style="7" hidden="1"/>
    <col min="8720" max="8720" width="13.85546875" style="7" hidden="1"/>
    <col min="8721" max="8721" width="16.42578125" style="7" hidden="1"/>
    <col min="8722" max="8722" width="15.28515625" style="7" hidden="1"/>
    <col min="8723" max="8723" width="17.28515625" style="7" hidden="1"/>
    <col min="8724" max="8724" width="13.5703125" style="7" hidden="1"/>
    <col min="8725" max="8725" width="15.85546875" style="7" hidden="1"/>
    <col min="8726" max="8726" width="15.28515625" style="7" hidden="1"/>
    <col min="8727" max="8727" width="17.28515625" style="7" hidden="1"/>
    <col min="8728" max="8728" width="13.5703125" style="7" hidden="1"/>
    <col min="8729" max="8729" width="16.42578125" style="7" hidden="1"/>
    <col min="8730" max="8730" width="13.28515625" style="7" hidden="1"/>
    <col min="8731" max="8731" width="17.28515625" style="7" hidden="1"/>
    <col min="8732" max="8732" width="13.7109375" style="7" hidden="1"/>
    <col min="8733" max="8733" width="16.5703125" style="7" hidden="1"/>
    <col min="8734" max="8734" width="15" style="7" hidden="1"/>
    <col min="8735" max="8735" width="12.28515625" style="7" hidden="1"/>
    <col min="8736" max="8960" width="28" style="7" hidden="1"/>
    <col min="8961" max="8961" width="20.85546875" style="7" hidden="1"/>
    <col min="8962" max="8962" width="40.42578125" style="7" hidden="1"/>
    <col min="8963" max="8963" width="46.42578125" style="7" hidden="1"/>
    <col min="8964" max="8965" width="28" style="7" hidden="1"/>
    <col min="8966" max="8966" width="15.5703125" style="7" hidden="1"/>
    <col min="8967" max="8967" width="15.7109375" style="7" hidden="1"/>
    <col min="8968" max="8968" width="14.140625" style="7" hidden="1"/>
    <col min="8969" max="8969" width="16.42578125" style="7" hidden="1"/>
    <col min="8970" max="8970" width="15.28515625" style="7" hidden="1"/>
    <col min="8971" max="8971" width="17.28515625" style="7" hidden="1"/>
    <col min="8972" max="8972" width="14" style="7" hidden="1"/>
    <col min="8973" max="8973" width="16.42578125" style="7" hidden="1"/>
    <col min="8974" max="8974" width="15.28515625" style="7" hidden="1"/>
    <col min="8975" max="8975" width="17.85546875" style="7" hidden="1"/>
    <col min="8976" max="8976" width="13.85546875" style="7" hidden="1"/>
    <col min="8977" max="8977" width="16.42578125" style="7" hidden="1"/>
    <col min="8978" max="8978" width="15.28515625" style="7" hidden="1"/>
    <col min="8979" max="8979" width="17.28515625" style="7" hidden="1"/>
    <col min="8980" max="8980" width="13.5703125" style="7" hidden="1"/>
    <col min="8981" max="8981" width="15.85546875" style="7" hidden="1"/>
    <col min="8982" max="8982" width="15.28515625" style="7" hidden="1"/>
    <col min="8983" max="8983" width="17.28515625" style="7" hidden="1"/>
    <col min="8984" max="8984" width="13.5703125" style="7" hidden="1"/>
    <col min="8985" max="8985" width="16.42578125" style="7" hidden="1"/>
    <col min="8986" max="8986" width="13.28515625" style="7" hidden="1"/>
    <col min="8987" max="8987" width="17.28515625" style="7" hidden="1"/>
    <col min="8988" max="8988" width="13.7109375" style="7" hidden="1"/>
    <col min="8989" max="8989" width="16.5703125" style="7" hidden="1"/>
    <col min="8990" max="8990" width="15" style="7" hidden="1"/>
    <col min="8991" max="8991" width="12.28515625" style="7" hidden="1"/>
    <col min="8992" max="9216" width="28" style="7" hidden="1"/>
    <col min="9217" max="9217" width="20.85546875" style="7" hidden="1"/>
    <col min="9218" max="9218" width="40.42578125" style="7" hidden="1"/>
    <col min="9219" max="9219" width="46.42578125" style="7" hidden="1"/>
    <col min="9220" max="9221" width="28" style="7" hidden="1"/>
    <col min="9222" max="9222" width="15.5703125" style="7" hidden="1"/>
    <col min="9223" max="9223" width="15.7109375" style="7" hidden="1"/>
    <col min="9224" max="9224" width="14.140625" style="7" hidden="1"/>
    <col min="9225" max="9225" width="16.42578125" style="7" hidden="1"/>
    <col min="9226" max="9226" width="15.28515625" style="7" hidden="1"/>
    <col min="9227" max="9227" width="17.28515625" style="7" hidden="1"/>
    <col min="9228" max="9228" width="14" style="7" hidden="1"/>
    <col min="9229" max="9229" width="16.42578125" style="7" hidden="1"/>
    <col min="9230" max="9230" width="15.28515625" style="7" hidden="1"/>
    <col min="9231" max="9231" width="17.85546875" style="7" hidden="1"/>
    <col min="9232" max="9232" width="13.85546875" style="7" hidden="1"/>
    <col min="9233" max="9233" width="16.42578125" style="7" hidden="1"/>
    <col min="9234" max="9234" width="15.28515625" style="7" hidden="1"/>
    <col min="9235" max="9235" width="17.28515625" style="7" hidden="1"/>
    <col min="9236" max="9236" width="13.5703125" style="7" hidden="1"/>
    <col min="9237" max="9237" width="15.85546875" style="7" hidden="1"/>
    <col min="9238" max="9238" width="15.28515625" style="7" hidden="1"/>
    <col min="9239" max="9239" width="17.28515625" style="7" hidden="1"/>
    <col min="9240" max="9240" width="13.5703125" style="7" hidden="1"/>
    <col min="9241" max="9241" width="16.42578125" style="7" hidden="1"/>
    <col min="9242" max="9242" width="13.28515625" style="7" hidden="1"/>
    <col min="9243" max="9243" width="17.28515625" style="7" hidden="1"/>
    <col min="9244" max="9244" width="13.7109375" style="7" hidden="1"/>
    <col min="9245" max="9245" width="16.5703125" style="7" hidden="1"/>
    <col min="9246" max="9246" width="15" style="7" hidden="1"/>
    <col min="9247" max="9247" width="12.28515625" style="7" hidden="1"/>
    <col min="9248" max="9472" width="28" style="7" hidden="1"/>
    <col min="9473" max="9473" width="20.85546875" style="7" hidden="1"/>
    <col min="9474" max="9474" width="40.42578125" style="7" hidden="1"/>
    <col min="9475" max="9475" width="46.42578125" style="7" hidden="1"/>
    <col min="9476" max="9477" width="28" style="7" hidden="1"/>
    <col min="9478" max="9478" width="15.5703125" style="7" hidden="1"/>
    <col min="9479" max="9479" width="15.7109375" style="7" hidden="1"/>
    <col min="9480" max="9480" width="14.140625" style="7" hidden="1"/>
    <col min="9481" max="9481" width="16.42578125" style="7" hidden="1"/>
    <col min="9482" max="9482" width="15.28515625" style="7" hidden="1"/>
    <col min="9483" max="9483" width="17.28515625" style="7" hidden="1"/>
    <col min="9484" max="9484" width="14" style="7" hidden="1"/>
    <col min="9485" max="9485" width="16.42578125" style="7" hidden="1"/>
    <col min="9486" max="9486" width="15.28515625" style="7" hidden="1"/>
    <col min="9487" max="9487" width="17.85546875" style="7" hidden="1"/>
    <col min="9488" max="9488" width="13.85546875" style="7" hidden="1"/>
    <col min="9489" max="9489" width="16.42578125" style="7" hidden="1"/>
    <col min="9490" max="9490" width="15.28515625" style="7" hidden="1"/>
    <col min="9491" max="9491" width="17.28515625" style="7" hidden="1"/>
    <col min="9492" max="9492" width="13.5703125" style="7" hidden="1"/>
    <col min="9493" max="9493" width="15.85546875" style="7" hidden="1"/>
    <col min="9494" max="9494" width="15.28515625" style="7" hidden="1"/>
    <col min="9495" max="9495" width="17.28515625" style="7" hidden="1"/>
    <col min="9496" max="9496" width="13.5703125" style="7" hidden="1"/>
    <col min="9497" max="9497" width="16.42578125" style="7" hidden="1"/>
    <col min="9498" max="9498" width="13.28515625" style="7" hidden="1"/>
    <col min="9499" max="9499" width="17.28515625" style="7" hidden="1"/>
    <col min="9500" max="9500" width="13.7109375" style="7" hidden="1"/>
    <col min="9501" max="9501" width="16.5703125" style="7" hidden="1"/>
    <col min="9502" max="9502" width="15" style="7" hidden="1"/>
    <col min="9503" max="9503" width="12.28515625" style="7" hidden="1"/>
    <col min="9504" max="9728" width="28" style="7" hidden="1"/>
    <col min="9729" max="9729" width="20.85546875" style="7" hidden="1"/>
    <col min="9730" max="9730" width="40.42578125" style="7" hidden="1"/>
    <col min="9731" max="9731" width="46.42578125" style="7" hidden="1"/>
    <col min="9732" max="9733" width="28" style="7" hidden="1"/>
    <col min="9734" max="9734" width="15.5703125" style="7" hidden="1"/>
    <col min="9735" max="9735" width="15.7109375" style="7" hidden="1"/>
    <col min="9736" max="9736" width="14.140625" style="7" hidden="1"/>
    <col min="9737" max="9737" width="16.42578125" style="7" hidden="1"/>
    <col min="9738" max="9738" width="15.28515625" style="7" hidden="1"/>
    <col min="9739" max="9739" width="17.28515625" style="7" hidden="1"/>
    <col min="9740" max="9740" width="14" style="7" hidden="1"/>
    <col min="9741" max="9741" width="16.42578125" style="7" hidden="1"/>
    <col min="9742" max="9742" width="15.28515625" style="7" hidden="1"/>
    <col min="9743" max="9743" width="17.85546875" style="7" hidden="1"/>
    <col min="9744" max="9744" width="13.85546875" style="7" hidden="1"/>
    <col min="9745" max="9745" width="16.42578125" style="7" hidden="1"/>
    <col min="9746" max="9746" width="15.28515625" style="7" hidden="1"/>
    <col min="9747" max="9747" width="17.28515625" style="7" hidden="1"/>
    <col min="9748" max="9748" width="13.5703125" style="7" hidden="1"/>
    <col min="9749" max="9749" width="15.85546875" style="7" hidden="1"/>
    <col min="9750" max="9750" width="15.28515625" style="7" hidden="1"/>
    <col min="9751" max="9751" width="17.28515625" style="7" hidden="1"/>
    <col min="9752" max="9752" width="13.5703125" style="7" hidden="1"/>
    <col min="9753" max="9753" width="16.42578125" style="7" hidden="1"/>
    <col min="9754" max="9754" width="13.28515625" style="7" hidden="1"/>
    <col min="9755" max="9755" width="17.28515625" style="7" hidden="1"/>
    <col min="9756" max="9756" width="13.7109375" style="7" hidden="1"/>
    <col min="9757" max="9757" width="16.5703125" style="7" hidden="1"/>
    <col min="9758" max="9758" width="15" style="7" hidden="1"/>
    <col min="9759" max="9759" width="12.28515625" style="7" hidden="1"/>
    <col min="9760" max="9984" width="28" style="7" hidden="1"/>
    <col min="9985" max="9985" width="20.85546875" style="7" hidden="1"/>
    <col min="9986" max="9986" width="40.42578125" style="7" hidden="1"/>
    <col min="9987" max="9987" width="46.42578125" style="7" hidden="1"/>
    <col min="9988" max="9989" width="28" style="7" hidden="1"/>
    <col min="9990" max="9990" width="15.5703125" style="7" hidden="1"/>
    <col min="9991" max="9991" width="15.7109375" style="7" hidden="1"/>
    <col min="9992" max="9992" width="14.140625" style="7" hidden="1"/>
    <col min="9993" max="9993" width="16.42578125" style="7" hidden="1"/>
    <col min="9994" max="9994" width="15.28515625" style="7" hidden="1"/>
    <col min="9995" max="9995" width="17.28515625" style="7" hidden="1"/>
    <col min="9996" max="9996" width="14" style="7" hidden="1"/>
    <col min="9997" max="9997" width="16.42578125" style="7" hidden="1"/>
    <col min="9998" max="9998" width="15.28515625" style="7" hidden="1"/>
    <col min="9999" max="9999" width="17.85546875" style="7" hidden="1"/>
    <col min="10000" max="10000" width="13.85546875" style="7" hidden="1"/>
    <col min="10001" max="10001" width="16.42578125" style="7" hidden="1"/>
    <col min="10002" max="10002" width="15.28515625" style="7" hidden="1"/>
    <col min="10003" max="10003" width="17.28515625" style="7" hidden="1"/>
    <col min="10004" max="10004" width="13.5703125" style="7" hidden="1"/>
    <col min="10005" max="10005" width="15.85546875" style="7" hidden="1"/>
    <col min="10006" max="10006" width="15.28515625" style="7" hidden="1"/>
    <col min="10007" max="10007" width="17.28515625" style="7" hidden="1"/>
    <col min="10008" max="10008" width="13.5703125" style="7" hidden="1"/>
    <col min="10009" max="10009" width="16.42578125" style="7" hidden="1"/>
    <col min="10010" max="10010" width="13.28515625" style="7" hidden="1"/>
    <col min="10011" max="10011" width="17.28515625" style="7" hidden="1"/>
    <col min="10012" max="10012" width="13.7109375" style="7" hidden="1"/>
    <col min="10013" max="10013" width="16.5703125" style="7" hidden="1"/>
    <col min="10014" max="10014" width="15" style="7" hidden="1"/>
    <col min="10015" max="10015" width="12.28515625" style="7" hidden="1"/>
    <col min="10016" max="10240" width="28" style="7" hidden="1"/>
    <col min="10241" max="10241" width="20.85546875" style="7" hidden="1"/>
    <col min="10242" max="10242" width="40.42578125" style="7" hidden="1"/>
    <col min="10243" max="10243" width="46.42578125" style="7" hidden="1"/>
    <col min="10244" max="10245" width="28" style="7" hidden="1"/>
    <col min="10246" max="10246" width="15.5703125" style="7" hidden="1"/>
    <col min="10247" max="10247" width="15.7109375" style="7" hidden="1"/>
    <col min="10248" max="10248" width="14.140625" style="7" hidden="1"/>
    <col min="10249" max="10249" width="16.42578125" style="7" hidden="1"/>
    <col min="10250" max="10250" width="15.28515625" style="7" hidden="1"/>
    <col min="10251" max="10251" width="17.28515625" style="7" hidden="1"/>
    <col min="10252" max="10252" width="14" style="7" hidden="1"/>
    <col min="10253" max="10253" width="16.42578125" style="7" hidden="1"/>
    <col min="10254" max="10254" width="15.28515625" style="7" hidden="1"/>
    <col min="10255" max="10255" width="17.85546875" style="7" hidden="1"/>
    <col min="10256" max="10256" width="13.85546875" style="7" hidden="1"/>
    <col min="10257" max="10257" width="16.42578125" style="7" hidden="1"/>
    <col min="10258" max="10258" width="15.28515625" style="7" hidden="1"/>
    <col min="10259" max="10259" width="17.28515625" style="7" hidden="1"/>
    <col min="10260" max="10260" width="13.5703125" style="7" hidden="1"/>
    <col min="10261" max="10261" width="15.85546875" style="7" hidden="1"/>
    <col min="10262" max="10262" width="15.28515625" style="7" hidden="1"/>
    <col min="10263" max="10263" width="17.28515625" style="7" hidden="1"/>
    <col min="10264" max="10264" width="13.5703125" style="7" hidden="1"/>
    <col min="10265" max="10265" width="16.42578125" style="7" hidden="1"/>
    <col min="10266" max="10266" width="13.28515625" style="7" hidden="1"/>
    <col min="10267" max="10267" width="17.28515625" style="7" hidden="1"/>
    <col min="10268" max="10268" width="13.7109375" style="7" hidden="1"/>
    <col min="10269" max="10269" width="16.5703125" style="7" hidden="1"/>
    <col min="10270" max="10270" width="15" style="7" hidden="1"/>
    <col min="10271" max="10271" width="12.28515625" style="7" hidden="1"/>
    <col min="10272" max="10496" width="28" style="7" hidden="1"/>
    <col min="10497" max="10497" width="20.85546875" style="7" hidden="1"/>
    <col min="10498" max="10498" width="40.42578125" style="7" hidden="1"/>
    <col min="10499" max="10499" width="46.42578125" style="7" hidden="1"/>
    <col min="10500" max="10501" width="28" style="7" hidden="1"/>
    <col min="10502" max="10502" width="15.5703125" style="7" hidden="1"/>
    <col min="10503" max="10503" width="15.7109375" style="7" hidden="1"/>
    <col min="10504" max="10504" width="14.140625" style="7" hidden="1"/>
    <col min="10505" max="10505" width="16.42578125" style="7" hidden="1"/>
    <col min="10506" max="10506" width="15.28515625" style="7" hidden="1"/>
    <col min="10507" max="10507" width="17.28515625" style="7" hidden="1"/>
    <col min="10508" max="10508" width="14" style="7" hidden="1"/>
    <col min="10509" max="10509" width="16.42578125" style="7" hidden="1"/>
    <col min="10510" max="10510" width="15.28515625" style="7" hidden="1"/>
    <col min="10511" max="10511" width="17.85546875" style="7" hidden="1"/>
    <col min="10512" max="10512" width="13.85546875" style="7" hidden="1"/>
    <col min="10513" max="10513" width="16.42578125" style="7" hidden="1"/>
    <col min="10514" max="10514" width="15.28515625" style="7" hidden="1"/>
    <col min="10515" max="10515" width="17.28515625" style="7" hidden="1"/>
    <col min="10516" max="10516" width="13.5703125" style="7" hidden="1"/>
    <col min="10517" max="10517" width="15.85546875" style="7" hidden="1"/>
    <col min="10518" max="10518" width="15.28515625" style="7" hidden="1"/>
    <col min="10519" max="10519" width="17.28515625" style="7" hidden="1"/>
    <col min="10520" max="10520" width="13.5703125" style="7" hidden="1"/>
    <col min="10521" max="10521" width="16.42578125" style="7" hidden="1"/>
    <col min="10522" max="10522" width="13.28515625" style="7" hidden="1"/>
    <col min="10523" max="10523" width="17.28515625" style="7" hidden="1"/>
    <col min="10524" max="10524" width="13.7109375" style="7" hidden="1"/>
    <col min="10525" max="10525" width="16.5703125" style="7" hidden="1"/>
    <col min="10526" max="10526" width="15" style="7" hidden="1"/>
    <col min="10527" max="10527" width="12.28515625" style="7" hidden="1"/>
    <col min="10528" max="10752" width="28" style="7" hidden="1"/>
    <col min="10753" max="10753" width="20.85546875" style="7" hidden="1"/>
    <col min="10754" max="10754" width="40.42578125" style="7" hidden="1"/>
    <col min="10755" max="10755" width="46.42578125" style="7" hidden="1"/>
    <col min="10756" max="10757" width="28" style="7" hidden="1"/>
    <col min="10758" max="10758" width="15.5703125" style="7" hidden="1"/>
    <col min="10759" max="10759" width="15.7109375" style="7" hidden="1"/>
    <col min="10760" max="10760" width="14.140625" style="7" hidden="1"/>
    <col min="10761" max="10761" width="16.42578125" style="7" hidden="1"/>
    <col min="10762" max="10762" width="15.28515625" style="7" hidden="1"/>
    <col min="10763" max="10763" width="17.28515625" style="7" hidden="1"/>
    <col min="10764" max="10764" width="14" style="7" hidden="1"/>
    <col min="10765" max="10765" width="16.42578125" style="7" hidden="1"/>
    <col min="10766" max="10766" width="15.28515625" style="7" hidden="1"/>
    <col min="10767" max="10767" width="17.85546875" style="7" hidden="1"/>
    <col min="10768" max="10768" width="13.85546875" style="7" hidden="1"/>
    <col min="10769" max="10769" width="16.42578125" style="7" hidden="1"/>
    <col min="10770" max="10770" width="15.28515625" style="7" hidden="1"/>
    <col min="10771" max="10771" width="17.28515625" style="7" hidden="1"/>
    <col min="10772" max="10772" width="13.5703125" style="7" hidden="1"/>
    <col min="10773" max="10773" width="15.85546875" style="7" hidden="1"/>
    <col min="10774" max="10774" width="15.28515625" style="7" hidden="1"/>
    <col min="10775" max="10775" width="17.28515625" style="7" hidden="1"/>
    <col min="10776" max="10776" width="13.5703125" style="7" hidden="1"/>
    <col min="10777" max="10777" width="16.42578125" style="7" hidden="1"/>
    <col min="10778" max="10778" width="13.28515625" style="7" hidden="1"/>
    <col min="10779" max="10779" width="17.28515625" style="7" hidden="1"/>
    <col min="10780" max="10780" width="13.7109375" style="7" hidden="1"/>
    <col min="10781" max="10781" width="16.5703125" style="7" hidden="1"/>
    <col min="10782" max="10782" width="15" style="7" hidden="1"/>
    <col min="10783" max="10783" width="12.28515625" style="7" hidden="1"/>
    <col min="10784" max="11008" width="28" style="7" hidden="1"/>
    <col min="11009" max="11009" width="20.85546875" style="7" hidden="1"/>
    <col min="11010" max="11010" width="40.42578125" style="7" hidden="1"/>
    <col min="11011" max="11011" width="46.42578125" style="7" hidden="1"/>
    <col min="11012" max="11013" width="28" style="7" hidden="1"/>
    <col min="11014" max="11014" width="15.5703125" style="7" hidden="1"/>
    <col min="11015" max="11015" width="15.7109375" style="7" hidden="1"/>
    <col min="11016" max="11016" width="14.140625" style="7" hidden="1"/>
    <col min="11017" max="11017" width="16.42578125" style="7" hidden="1"/>
    <col min="11018" max="11018" width="15.28515625" style="7" hidden="1"/>
    <col min="11019" max="11019" width="17.28515625" style="7" hidden="1"/>
    <col min="11020" max="11020" width="14" style="7" hidden="1"/>
    <col min="11021" max="11021" width="16.42578125" style="7" hidden="1"/>
    <col min="11022" max="11022" width="15.28515625" style="7" hidden="1"/>
    <col min="11023" max="11023" width="17.85546875" style="7" hidden="1"/>
    <col min="11024" max="11024" width="13.85546875" style="7" hidden="1"/>
    <col min="11025" max="11025" width="16.42578125" style="7" hidden="1"/>
    <col min="11026" max="11026" width="15.28515625" style="7" hidden="1"/>
    <col min="11027" max="11027" width="17.28515625" style="7" hidden="1"/>
    <col min="11028" max="11028" width="13.5703125" style="7" hidden="1"/>
    <col min="11029" max="11029" width="15.85546875" style="7" hidden="1"/>
    <col min="11030" max="11030" width="15.28515625" style="7" hidden="1"/>
    <col min="11031" max="11031" width="17.28515625" style="7" hidden="1"/>
    <col min="11032" max="11032" width="13.5703125" style="7" hidden="1"/>
    <col min="11033" max="11033" width="16.42578125" style="7" hidden="1"/>
    <col min="11034" max="11034" width="13.28515625" style="7" hidden="1"/>
    <col min="11035" max="11035" width="17.28515625" style="7" hidden="1"/>
    <col min="11036" max="11036" width="13.7109375" style="7" hidden="1"/>
    <col min="11037" max="11037" width="16.5703125" style="7" hidden="1"/>
    <col min="11038" max="11038" width="15" style="7" hidden="1"/>
    <col min="11039" max="11039" width="12.28515625" style="7" hidden="1"/>
    <col min="11040" max="11264" width="28" style="7" hidden="1"/>
    <col min="11265" max="11265" width="20.85546875" style="7" hidden="1"/>
    <col min="11266" max="11266" width="40.42578125" style="7" hidden="1"/>
    <col min="11267" max="11267" width="46.42578125" style="7" hidden="1"/>
    <col min="11268" max="11269" width="28" style="7" hidden="1"/>
    <col min="11270" max="11270" width="15.5703125" style="7" hidden="1"/>
    <col min="11271" max="11271" width="15.7109375" style="7" hidden="1"/>
    <col min="11272" max="11272" width="14.140625" style="7" hidden="1"/>
    <col min="11273" max="11273" width="16.42578125" style="7" hidden="1"/>
    <col min="11274" max="11274" width="15.28515625" style="7" hidden="1"/>
    <col min="11275" max="11275" width="17.28515625" style="7" hidden="1"/>
    <col min="11276" max="11276" width="14" style="7" hidden="1"/>
    <col min="11277" max="11277" width="16.42578125" style="7" hidden="1"/>
    <col min="11278" max="11278" width="15.28515625" style="7" hidden="1"/>
    <col min="11279" max="11279" width="17.85546875" style="7" hidden="1"/>
    <col min="11280" max="11280" width="13.85546875" style="7" hidden="1"/>
    <col min="11281" max="11281" width="16.42578125" style="7" hidden="1"/>
    <col min="11282" max="11282" width="15.28515625" style="7" hidden="1"/>
    <col min="11283" max="11283" width="17.28515625" style="7" hidden="1"/>
    <col min="11284" max="11284" width="13.5703125" style="7" hidden="1"/>
    <col min="11285" max="11285" width="15.85546875" style="7" hidden="1"/>
    <col min="11286" max="11286" width="15.28515625" style="7" hidden="1"/>
    <col min="11287" max="11287" width="17.28515625" style="7" hidden="1"/>
    <col min="11288" max="11288" width="13.5703125" style="7" hidden="1"/>
    <col min="11289" max="11289" width="16.42578125" style="7" hidden="1"/>
    <col min="11290" max="11290" width="13.28515625" style="7" hidden="1"/>
    <col min="11291" max="11291" width="17.28515625" style="7" hidden="1"/>
    <col min="11292" max="11292" width="13.7109375" style="7" hidden="1"/>
    <col min="11293" max="11293" width="16.5703125" style="7" hidden="1"/>
    <col min="11294" max="11294" width="15" style="7" hidden="1"/>
    <col min="11295" max="11295" width="12.28515625" style="7" hidden="1"/>
    <col min="11296" max="11520" width="28" style="7" hidden="1"/>
    <col min="11521" max="11521" width="20.85546875" style="7" hidden="1"/>
    <col min="11522" max="11522" width="40.42578125" style="7" hidden="1"/>
    <col min="11523" max="11523" width="46.42578125" style="7" hidden="1"/>
    <col min="11524" max="11525" width="28" style="7" hidden="1"/>
    <col min="11526" max="11526" width="15.5703125" style="7" hidden="1"/>
    <col min="11527" max="11527" width="15.7109375" style="7" hidden="1"/>
    <col min="11528" max="11528" width="14.140625" style="7" hidden="1"/>
    <col min="11529" max="11529" width="16.42578125" style="7" hidden="1"/>
    <col min="11530" max="11530" width="15.28515625" style="7" hidden="1"/>
    <col min="11531" max="11531" width="17.28515625" style="7" hidden="1"/>
    <col min="11532" max="11532" width="14" style="7" hidden="1"/>
    <col min="11533" max="11533" width="16.42578125" style="7" hidden="1"/>
    <col min="11534" max="11534" width="15.28515625" style="7" hidden="1"/>
    <col min="11535" max="11535" width="17.85546875" style="7" hidden="1"/>
    <col min="11536" max="11536" width="13.85546875" style="7" hidden="1"/>
    <col min="11537" max="11537" width="16.42578125" style="7" hidden="1"/>
    <col min="11538" max="11538" width="15.28515625" style="7" hidden="1"/>
    <col min="11539" max="11539" width="17.28515625" style="7" hidden="1"/>
    <col min="11540" max="11540" width="13.5703125" style="7" hidden="1"/>
    <col min="11541" max="11541" width="15.85546875" style="7" hidden="1"/>
    <col min="11542" max="11542" width="15.28515625" style="7" hidden="1"/>
    <col min="11543" max="11543" width="17.28515625" style="7" hidden="1"/>
    <col min="11544" max="11544" width="13.5703125" style="7" hidden="1"/>
    <col min="11545" max="11545" width="16.42578125" style="7" hidden="1"/>
    <col min="11546" max="11546" width="13.28515625" style="7" hidden="1"/>
    <col min="11547" max="11547" width="17.28515625" style="7" hidden="1"/>
    <col min="11548" max="11548" width="13.7109375" style="7" hidden="1"/>
    <col min="11549" max="11549" width="16.5703125" style="7" hidden="1"/>
    <col min="11550" max="11550" width="15" style="7" hidden="1"/>
    <col min="11551" max="11551" width="12.28515625" style="7" hidden="1"/>
    <col min="11552" max="11776" width="28" style="7" hidden="1"/>
    <col min="11777" max="11777" width="20.85546875" style="7" hidden="1"/>
    <col min="11778" max="11778" width="40.42578125" style="7" hidden="1"/>
    <col min="11779" max="11779" width="46.42578125" style="7" hidden="1"/>
    <col min="11780" max="11781" width="28" style="7" hidden="1"/>
    <col min="11782" max="11782" width="15.5703125" style="7" hidden="1"/>
    <col min="11783" max="11783" width="15.7109375" style="7" hidden="1"/>
    <col min="11784" max="11784" width="14.140625" style="7" hidden="1"/>
    <col min="11785" max="11785" width="16.42578125" style="7" hidden="1"/>
    <col min="11786" max="11786" width="15.28515625" style="7" hidden="1"/>
    <col min="11787" max="11787" width="17.28515625" style="7" hidden="1"/>
    <col min="11788" max="11788" width="14" style="7" hidden="1"/>
    <col min="11789" max="11789" width="16.42578125" style="7" hidden="1"/>
    <col min="11790" max="11790" width="15.28515625" style="7" hidden="1"/>
    <col min="11791" max="11791" width="17.85546875" style="7" hidden="1"/>
    <col min="11792" max="11792" width="13.85546875" style="7" hidden="1"/>
    <col min="11793" max="11793" width="16.42578125" style="7" hidden="1"/>
    <col min="11794" max="11794" width="15.28515625" style="7" hidden="1"/>
    <col min="11795" max="11795" width="17.28515625" style="7" hidden="1"/>
    <col min="11796" max="11796" width="13.5703125" style="7" hidden="1"/>
    <col min="11797" max="11797" width="15.85546875" style="7" hidden="1"/>
    <col min="11798" max="11798" width="15.28515625" style="7" hidden="1"/>
    <col min="11799" max="11799" width="17.28515625" style="7" hidden="1"/>
    <col min="11800" max="11800" width="13.5703125" style="7" hidden="1"/>
    <col min="11801" max="11801" width="16.42578125" style="7" hidden="1"/>
    <col min="11802" max="11802" width="13.28515625" style="7" hidden="1"/>
    <col min="11803" max="11803" width="17.28515625" style="7" hidden="1"/>
    <col min="11804" max="11804" width="13.7109375" style="7" hidden="1"/>
    <col min="11805" max="11805" width="16.5703125" style="7" hidden="1"/>
    <col min="11806" max="11806" width="15" style="7" hidden="1"/>
    <col min="11807" max="11807" width="12.28515625" style="7" hidden="1"/>
    <col min="11808" max="12032" width="28" style="7" hidden="1"/>
    <col min="12033" max="12033" width="20.85546875" style="7" hidden="1"/>
    <col min="12034" max="12034" width="40.42578125" style="7" hidden="1"/>
    <col min="12035" max="12035" width="46.42578125" style="7" hidden="1"/>
    <col min="12036" max="12037" width="28" style="7" hidden="1"/>
    <col min="12038" max="12038" width="15.5703125" style="7" hidden="1"/>
    <col min="12039" max="12039" width="15.7109375" style="7" hidden="1"/>
    <col min="12040" max="12040" width="14.140625" style="7" hidden="1"/>
    <col min="12041" max="12041" width="16.42578125" style="7" hidden="1"/>
    <col min="12042" max="12042" width="15.28515625" style="7" hidden="1"/>
    <col min="12043" max="12043" width="17.28515625" style="7" hidden="1"/>
    <col min="12044" max="12044" width="14" style="7" hidden="1"/>
    <col min="12045" max="12045" width="16.42578125" style="7" hidden="1"/>
    <col min="12046" max="12046" width="15.28515625" style="7" hidden="1"/>
    <col min="12047" max="12047" width="17.85546875" style="7" hidden="1"/>
    <col min="12048" max="12048" width="13.85546875" style="7" hidden="1"/>
    <col min="12049" max="12049" width="16.42578125" style="7" hidden="1"/>
    <col min="12050" max="12050" width="15.28515625" style="7" hidden="1"/>
    <col min="12051" max="12051" width="17.28515625" style="7" hidden="1"/>
    <col min="12052" max="12052" width="13.5703125" style="7" hidden="1"/>
    <col min="12053" max="12053" width="15.85546875" style="7" hidden="1"/>
    <col min="12054" max="12054" width="15.28515625" style="7" hidden="1"/>
    <col min="12055" max="12055" width="17.28515625" style="7" hidden="1"/>
    <col min="12056" max="12056" width="13.5703125" style="7" hidden="1"/>
    <col min="12057" max="12057" width="16.42578125" style="7" hidden="1"/>
    <col min="12058" max="12058" width="13.28515625" style="7" hidden="1"/>
    <col min="12059" max="12059" width="17.28515625" style="7" hidden="1"/>
    <col min="12060" max="12060" width="13.7109375" style="7" hidden="1"/>
    <col min="12061" max="12061" width="16.5703125" style="7" hidden="1"/>
    <col min="12062" max="12062" width="15" style="7" hidden="1"/>
    <col min="12063" max="12063" width="12.28515625" style="7" hidden="1"/>
    <col min="12064" max="12288" width="28" style="7" hidden="1"/>
    <col min="12289" max="12289" width="20.85546875" style="7" hidden="1"/>
    <col min="12290" max="12290" width="40.42578125" style="7" hidden="1"/>
    <col min="12291" max="12291" width="46.42578125" style="7" hidden="1"/>
    <col min="12292" max="12293" width="28" style="7" hidden="1"/>
    <col min="12294" max="12294" width="15.5703125" style="7" hidden="1"/>
    <col min="12295" max="12295" width="15.7109375" style="7" hidden="1"/>
    <col min="12296" max="12296" width="14.140625" style="7" hidden="1"/>
    <col min="12297" max="12297" width="16.42578125" style="7" hidden="1"/>
    <col min="12298" max="12298" width="15.28515625" style="7" hidden="1"/>
    <col min="12299" max="12299" width="17.28515625" style="7" hidden="1"/>
    <col min="12300" max="12300" width="14" style="7" hidden="1"/>
    <col min="12301" max="12301" width="16.42578125" style="7" hidden="1"/>
    <col min="12302" max="12302" width="15.28515625" style="7" hidden="1"/>
    <col min="12303" max="12303" width="17.85546875" style="7" hidden="1"/>
    <col min="12304" max="12304" width="13.85546875" style="7" hidden="1"/>
    <col min="12305" max="12305" width="16.42578125" style="7" hidden="1"/>
    <col min="12306" max="12306" width="15.28515625" style="7" hidden="1"/>
    <col min="12307" max="12307" width="17.28515625" style="7" hidden="1"/>
    <col min="12308" max="12308" width="13.5703125" style="7" hidden="1"/>
    <col min="12309" max="12309" width="15.85546875" style="7" hidden="1"/>
    <col min="12310" max="12310" width="15.28515625" style="7" hidden="1"/>
    <col min="12311" max="12311" width="17.28515625" style="7" hidden="1"/>
    <col min="12312" max="12312" width="13.5703125" style="7" hidden="1"/>
    <col min="12313" max="12313" width="16.42578125" style="7" hidden="1"/>
    <col min="12314" max="12314" width="13.28515625" style="7" hidden="1"/>
    <col min="12315" max="12315" width="17.28515625" style="7" hidden="1"/>
    <col min="12316" max="12316" width="13.7109375" style="7" hidden="1"/>
    <col min="12317" max="12317" width="16.5703125" style="7" hidden="1"/>
    <col min="12318" max="12318" width="15" style="7" hidden="1"/>
    <col min="12319" max="12319" width="12.28515625" style="7" hidden="1"/>
    <col min="12320" max="12544" width="28" style="7" hidden="1"/>
    <col min="12545" max="12545" width="20.85546875" style="7" hidden="1"/>
    <col min="12546" max="12546" width="40.42578125" style="7" hidden="1"/>
    <col min="12547" max="12547" width="46.42578125" style="7" hidden="1"/>
    <col min="12548" max="12549" width="28" style="7" hidden="1"/>
    <col min="12550" max="12550" width="15.5703125" style="7" hidden="1"/>
    <col min="12551" max="12551" width="15.7109375" style="7" hidden="1"/>
    <col min="12552" max="12552" width="14.140625" style="7" hidden="1"/>
    <col min="12553" max="12553" width="16.42578125" style="7" hidden="1"/>
    <col min="12554" max="12554" width="15.28515625" style="7" hidden="1"/>
    <col min="12555" max="12555" width="17.28515625" style="7" hidden="1"/>
    <col min="12556" max="12556" width="14" style="7" hidden="1"/>
    <col min="12557" max="12557" width="16.42578125" style="7" hidden="1"/>
    <col min="12558" max="12558" width="15.28515625" style="7" hidden="1"/>
    <col min="12559" max="12559" width="17.85546875" style="7" hidden="1"/>
    <col min="12560" max="12560" width="13.85546875" style="7" hidden="1"/>
    <col min="12561" max="12561" width="16.42578125" style="7" hidden="1"/>
    <col min="12562" max="12562" width="15.28515625" style="7" hidden="1"/>
    <col min="12563" max="12563" width="17.28515625" style="7" hidden="1"/>
    <col min="12564" max="12564" width="13.5703125" style="7" hidden="1"/>
    <col min="12565" max="12565" width="15.85546875" style="7" hidden="1"/>
    <col min="12566" max="12566" width="15.28515625" style="7" hidden="1"/>
    <col min="12567" max="12567" width="17.28515625" style="7" hidden="1"/>
    <col min="12568" max="12568" width="13.5703125" style="7" hidden="1"/>
    <col min="12569" max="12569" width="16.42578125" style="7" hidden="1"/>
    <col min="12570" max="12570" width="13.28515625" style="7" hidden="1"/>
    <col min="12571" max="12571" width="17.28515625" style="7" hidden="1"/>
    <col min="12572" max="12572" width="13.7109375" style="7" hidden="1"/>
    <col min="12573" max="12573" width="16.5703125" style="7" hidden="1"/>
    <col min="12574" max="12574" width="15" style="7" hidden="1"/>
    <col min="12575" max="12575" width="12.28515625" style="7" hidden="1"/>
    <col min="12576" max="12800" width="28" style="7" hidden="1"/>
    <col min="12801" max="12801" width="20.85546875" style="7" hidden="1"/>
    <col min="12802" max="12802" width="40.42578125" style="7" hidden="1"/>
    <col min="12803" max="12803" width="46.42578125" style="7" hidden="1"/>
    <col min="12804" max="12805" width="28" style="7" hidden="1"/>
    <col min="12806" max="12806" width="15.5703125" style="7" hidden="1"/>
    <col min="12807" max="12807" width="15.7109375" style="7" hidden="1"/>
    <col min="12808" max="12808" width="14.140625" style="7" hidden="1"/>
    <col min="12809" max="12809" width="16.42578125" style="7" hidden="1"/>
    <col min="12810" max="12810" width="15.28515625" style="7" hidden="1"/>
    <col min="12811" max="12811" width="17.28515625" style="7" hidden="1"/>
    <col min="12812" max="12812" width="14" style="7" hidden="1"/>
    <col min="12813" max="12813" width="16.42578125" style="7" hidden="1"/>
    <col min="12814" max="12814" width="15.28515625" style="7" hidden="1"/>
    <col min="12815" max="12815" width="17.85546875" style="7" hidden="1"/>
    <col min="12816" max="12816" width="13.85546875" style="7" hidden="1"/>
    <col min="12817" max="12817" width="16.42578125" style="7" hidden="1"/>
    <col min="12818" max="12818" width="15.28515625" style="7" hidden="1"/>
    <col min="12819" max="12819" width="17.28515625" style="7" hidden="1"/>
    <col min="12820" max="12820" width="13.5703125" style="7" hidden="1"/>
    <col min="12821" max="12821" width="15.85546875" style="7" hidden="1"/>
    <col min="12822" max="12822" width="15.28515625" style="7" hidden="1"/>
    <col min="12823" max="12823" width="17.28515625" style="7" hidden="1"/>
    <col min="12824" max="12824" width="13.5703125" style="7" hidden="1"/>
    <col min="12825" max="12825" width="16.42578125" style="7" hidden="1"/>
    <col min="12826" max="12826" width="13.28515625" style="7" hidden="1"/>
    <col min="12827" max="12827" width="17.28515625" style="7" hidden="1"/>
    <col min="12828" max="12828" width="13.7109375" style="7" hidden="1"/>
    <col min="12829" max="12829" width="16.5703125" style="7" hidden="1"/>
    <col min="12830" max="12830" width="15" style="7" hidden="1"/>
    <col min="12831" max="12831" width="12.28515625" style="7" hidden="1"/>
    <col min="12832" max="13056" width="28" style="7" hidden="1"/>
    <col min="13057" max="13057" width="20.85546875" style="7" hidden="1"/>
    <col min="13058" max="13058" width="40.42578125" style="7" hidden="1"/>
    <col min="13059" max="13059" width="46.42578125" style="7" hidden="1"/>
    <col min="13060" max="13061" width="28" style="7" hidden="1"/>
    <col min="13062" max="13062" width="15.5703125" style="7" hidden="1"/>
    <col min="13063" max="13063" width="15.7109375" style="7" hidden="1"/>
    <col min="13064" max="13064" width="14.140625" style="7" hidden="1"/>
    <col min="13065" max="13065" width="16.42578125" style="7" hidden="1"/>
    <col min="13066" max="13066" width="15.28515625" style="7" hidden="1"/>
    <col min="13067" max="13067" width="17.28515625" style="7" hidden="1"/>
    <col min="13068" max="13068" width="14" style="7" hidden="1"/>
    <col min="13069" max="13069" width="16.42578125" style="7" hidden="1"/>
    <col min="13070" max="13070" width="15.28515625" style="7" hidden="1"/>
    <col min="13071" max="13071" width="17.85546875" style="7" hidden="1"/>
    <col min="13072" max="13072" width="13.85546875" style="7" hidden="1"/>
    <col min="13073" max="13073" width="16.42578125" style="7" hidden="1"/>
    <col min="13074" max="13074" width="15.28515625" style="7" hidden="1"/>
    <col min="13075" max="13075" width="17.28515625" style="7" hidden="1"/>
    <col min="13076" max="13076" width="13.5703125" style="7" hidden="1"/>
    <col min="13077" max="13077" width="15.85546875" style="7" hidden="1"/>
    <col min="13078" max="13078" width="15.28515625" style="7" hidden="1"/>
    <col min="13079" max="13079" width="17.28515625" style="7" hidden="1"/>
    <col min="13080" max="13080" width="13.5703125" style="7" hidden="1"/>
    <col min="13081" max="13081" width="16.42578125" style="7" hidden="1"/>
    <col min="13082" max="13082" width="13.28515625" style="7" hidden="1"/>
    <col min="13083" max="13083" width="17.28515625" style="7" hidden="1"/>
    <col min="13084" max="13084" width="13.7109375" style="7" hidden="1"/>
    <col min="13085" max="13085" width="16.5703125" style="7" hidden="1"/>
    <col min="13086" max="13086" width="15" style="7" hidden="1"/>
    <col min="13087" max="13087" width="12.28515625" style="7" hidden="1"/>
    <col min="13088" max="13312" width="28" style="7" hidden="1"/>
    <col min="13313" max="13313" width="20.85546875" style="7" hidden="1"/>
    <col min="13314" max="13314" width="40.42578125" style="7" hidden="1"/>
    <col min="13315" max="13315" width="46.42578125" style="7" hidden="1"/>
    <col min="13316" max="13317" width="28" style="7" hidden="1"/>
    <col min="13318" max="13318" width="15.5703125" style="7" hidden="1"/>
    <col min="13319" max="13319" width="15.7109375" style="7" hidden="1"/>
    <col min="13320" max="13320" width="14.140625" style="7" hidden="1"/>
    <col min="13321" max="13321" width="16.42578125" style="7" hidden="1"/>
    <col min="13322" max="13322" width="15.28515625" style="7" hidden="1"/>
    <col min="13323" max="13323" width="17.28515625" style="7" hidden="1"/>
    <col min="13324" max="13324" width="14" style="7" hidden="1"/>
    <col min="13325" max="13325" width="16.42578125" style="7" hidden="1"/>
    <col min="13326" max="13326" width="15.28515625" style="7" hidden="1"/>
    <col min="13327" max="13327" width="17.85546875" style="7" hidden="1"/>
    <col min="13328" max="13328" width="13.85546875" style="7" hidden="1"/>
    <col min="13329" max="13329" width="16.42578125" style="7" hidden="1"/>
    <col min="13330" max="13330" width="15.28515625" style="7" hidden="1"/>
    <col min="13331" max="13331" width="17.28515625" style="7" hidden="1"/>
    <col min="13332" max="13332" width="13.5703125" style="7" hidden="1"/>
    <col min="13333" max="13333" width="15.85546875" style="7" hidden="1"/>
    <col min="13334" max="13334" width="15.28515625" style="7" hidden="1"/>
    <col min="13335" max="13335" width="17.28515625" style="7" hidden="1"/>
    <col min="13336" max="13336" width="13.5703125" style="7" hidden="1"/>
    <col min="13337" max="13337" width="16.42578125" style="7" hidden="1"/>
    <col min="13338" max="13338" width="13.28515625" style="7" hidden="1"/>
    <col min="13339" max="13339" width="17.28515625" style="7" hidden="1"/>
    <col min="13340" max="13340" width="13.7109375" style="7" hidden="1"/>
    <col min="13341" max="13341" width="16.5703125" style="7" hidden="1"/>
    <col min="13342" max="13342" width="15" style="7" hidden="1"/>
    <col min="13343" max="13343" width="12.28515625" style="7" hidden="1"/>
    <col min="13344" max="13568" width="28" style="7" hidden="1"/>
    <col min="13569" max="13569" width="20.85546875" style="7" hidden="1"/>
    <col min="13570" max="13570" width="40.42578125" style="7" hidden="1"/>
    <col min="13571" max="13571" width="46.42578125" style="7" hidden="1"/>
    <col min="13572" max="13573" width="28" style="7" hidden="1"/>
    <col min="13574" max="13574" width="15.5703125" style="7" hidden="1"/>
    <col min="13575" max="13575" width="15.7109375" style="7" hidden="1"/>
    <col min="13576" max="13576" width="14.140625" style="7" hidden="1"/>
    <col min="13577" max="13577" width="16.42578125" style="7" hidden="1"/>
    <col min="13578" max="13578" width="15.28515625" style="7" hidden="1"/>
    <col min="13579" max="13579" width="17.28515625" style="7" hidden="1"/>
    <col min="13580" max="13580" width="14" style="7" hidden="1"/>
    <col min="13581" max="13581" width="16.42578125" style="7" hidden="1"/>
    <col min="13582" max="13582" width="15.28515625" style="7" hidden="1"/>
    <col min="13583" max="13583" width="17.85546875" style="7" hidden="1"/>
    <col min="13584" max="13584" width="13.85546875" style="7" hidden="1"/>
    <col min="13585" max="13585" width="16.42578125" style="7" hidden="1"/>
    <col min="13586" max="13586" width="15.28515625" style="7" hidden="1"/>
    <col min="13587" max="13587" width="17.28515625" style="7" hidden="1"/>
    <col min="13588" max="13588" width="13.5703125" style="7" hidden="1"/>
    <col min="13589" max="13589" width="15.85546875" style="7" hidden="1"/>
    <col min="13590" max="13590" width="15.28515625" style="7" hidden="1"/>
    <col min="13591" max="13591" width="17.28515625" style="7" hidden="1"/>
    <col min="13592" max="13592" width="13.5703125" style="7" hidden="1"/>
    <col min="13593" max="13593" width="16.42578125" style="7" hidden="1"/>
    <col min="13594" max="13594" width="13.28515625" style="7" hidden="1"/>
    <col min="13595" max="13595" width="17.28515625" style="7" hidden="1"/>
    <col min="13596" max="13596" width="13.7109375" style="7" hidden="1"/>
    <col min="13597" max="13597" width="16.5703125" style="7" hidden="1"/>
    <col min="13598" max="13598" width="15" style="7" hidden="1"/>
    <col min="13599" max="13599" width="12.28515625" style="7" hidden="1"/>
    <col min="13600" max="13824" width="28" style="7" hidden="1"/>
    <col min="13825" max="13825" width="20.85546875" style="7" hidden="1"/>
    <col min="13826" max="13826" width="40.42578125" style="7" hidden="1"/>
    <col min="13827" max="13827" width="46.42578125" style="7" hidden="1"/>
    <col min="13828" max="13829" width="28" style="7" hidden="1"/>
    <col min="13830" max="13830" width="15.5703125" style="7" hidden="1"/>
    <col min="13831" max="13831" width="15.7109375" style="7" hidden="1"/>
    <col min="13832" max="13832" width="14.140625" style="7" hidden="1"/>
    <col min="13833" max="13833" width="16.42578125" style="7" hidden="1"/>
    <col min="13834" max="13834" width="15.28515625" style="7" hidden="1"/>
    <col min="13835" max="13835" width="17.28515625" style="7" hidden="1"/>
    <col min="13836" max="13836" width="14" style="7" hidden="1"/>
    <col min="13837" max="13837" width="16.42578125" style="7" hidden="1"/>
    <col min="13838" max="13838" width="15.28515625" style="7" hidden="1"/>
    <col min="13839" max="13839" width="17.85546875" style="7" hidden="1"/>
    <col min="13840" max="13840" width="13.85546875" style="7" hidden="1"/>
    <col min="13841" max="13841" width="16.42578125" style="7" hidden="1"/>
    <col min="13842" max="13842" width="15.28515625" style="7" hidden="1"/>
    <col min="13843" max="13843" width="17.28515625" style="7" hidden="1"/>
    <col min="13844" max="13844" width="13.5703125" style="7" hidden="1"/>
    <col min="13845" max="13845" width="15.85546875" style="7" hidden="1"/>
    <col min="13846" max="13846" width="15.28515625" style="7" hidden="1"/>
    <col min="13847" max="13847" width="17.28515625" style="7" hidden="1"/>
    <col min="13848" max="13848" width="13.5703125" style="7" hidden="1"/>
    <col min="13849" max="13849" width="16.42578125" style="7" hidden="1"/>
    <col min="13850" max="13850" width="13.28515625" style="7" hidden="1"/>
    <col min="13851" max="13851" width="17.28515625" style="7" hidden="1"/>
    <col min="13852" max="13852" width="13.7109375" style="7" hidden="1"/>
    <col min="13853" max="13853" width="16.5703125" style="7" hidden="1"/>
    <col min="13854" max="13854" width="15" style="7" hidden="1"/>
    <col min="13855" max="13855" width="12.28515625" style="7" hidden="1"/>
    <col min="13856" max="14080" width="28" style="7" hidden="1"/>
    <col min="14081" max="14081" width="20.85546875" style="7" hidden="1"/>
    <col min="14082" max="14082" width="40.42578125" style="7" hidden="1"/>
    <col min="14083" max="14083" width="46.42578125" style="7" hidden="1"/>
    <col min="14084" max="14085" width="28" style="7" hidden="1"/>
    <col min="14086" max="14086" width="15.5703125" style="7" hidden="1"/>
    <col min="14087" max="14087" width="15.7109375" style="7" hidden="1"/>
    <col min="14088" max="14088" width="14.140625" style="7" hidden="1"/>
    <col min="14089" max="14089" width="16.42578125" style="7" hidden="1"/>
    <col min="14090" max="14090" width="15.28515625" style="7" hidden="1"/>
    <col min="14091" max="14091" width="17.28515625" style="7" hidden="1"/>
    <col min="14092" max="14092" width="14" style="7" hidden="1"/>
    <col min="14093" max="14093" width="16.42578125" style="7" hidden="1"/>
    <col min="14094" max="14094" width="15.28515625" style="7" hidden="1"/>
    <col min="14095" max="14095" width="17.85546875" style="7" hidden="1"/>
    <col min="14096" max="14096" width="13.85546875" style="7" hidden="1"/>
    <col min="14097" max="14097" width="16.42578125" style="7" hidden="1"/>
    <col min="14098" max="14098" width="15.28515625" style="7" hidden="1"/>
    <col min="14099" max="14099" width="17.28515625" style="7" hidden="1"/>
    <col min="14100" max="14100" width="13.5703125" style="7" hidden="1"/>
    <col min="14101" max="14101" width="15.85546875" style="7" hidden="1"/>
    <col min="14102" max="14102" width="15.28515625" style="7" hidden="1"/>
    <col min="14103" max="14103" width="17.28515625" style="7" hidden="1"/>
    <col min="14104" max="14104" width="13.5703125" style="7" hidden="1"/>
    <col min="14105" max="14105" width="16.42578125" style="7" hidden="1"/>
    <col min="14106" max="14106" width="13.28515625" style="7" hidden="1"/>
    <col min="14107" max="14107" width="17.28515625" style="7" hidden="1"/>
    <col min="14108" max="14108" width="13.7109375" style="7" hidden="1"/>
    <col min="14109" max="14109" width="16.5703125" style="7" hidden="1"/>
    <col min="14110" max="14110" width="15" style="7" hidden="1"/>
    <col min="14111" max="14111" width="12.28515625" style="7" hidden="1"/>
    <col min="14112" max="14336" width="28" style="7" hidden="1"/>
    <col min="14337" max="14337" width="20.85546875" style="7" hidden="1"/>
    <col min="14338" max="14338" width="40.42578125" style="7" hidden="1"/>
    <col min="14339" max="14339" width="46.42578125" style="7" hidden="1"/>
    <col min="14340" max="14341" width="28" style="7" hidden="1"/>
    <col min="14342" max="14342" width="15.5703125" style="7" hidden="1"/>
    <col min="14343" max="14343" width="15.7109375" style="7" hidden="1"/>
    <col min="14344" max="14344" width="14.140625" style="7" hidden="1"/>
    <col min="14345" max="14345" width="16.42578125" style="7" hidden="1"/>
    <col min="14346" max="14346" width="15.28515625" style="7" hidden="1"/>
    <col min="14347" max="14347" width="17.28515625" style="7" hidden="1"/>
    <col min="14348" max="14348" width="14" style="7" hidden="1"/>
    <col min="14349" max="14349" width="16.42578125" style="7" hidden="1"/>
    <col min="14350" max="14350" width="15.28515625" style="7" hidden="1"/>
    <col min="14351" max="14351" width="17.85546875" style="7" hidden="1"/>
    <col min="14352" max="14352" width="13.85546875" style="7" hidden="1"/>
    <col min="14353" max="14353" width="16.42578125" style="7" hidden="1"/>
    <col min="14354" max="14354" width="15.28515625" style="7" hidden="1"/>
    <col min="14355" max="14355" width="17.28515625" style="7" hidden="1"/>
    <col min="14356" max="14356" width="13.5703125" style="7" hidden="1"/>
    <col min="14357" max="14357" width="15.85546875" style="7" hidden="1"/>
    <col min="14358" max="14358" width="15.28515625" style="7" hidden="1"/>
    <col min="14359" max="14359" width="17.28515625" style="7" hidden="1"/>
    <col min="14360" max="14360" width="13.5703125" style="7" hidden="1"/>
    <col min="14361" max="14361" width="16.42578125" style="7" hidden="1"/>
    <col min="14362" max="14362" width="13.28515625" style="7" hidden="1"/>
    <col min="14363" max="14363" width="17.28515625" style="7" hidden="1"/>
    <col min="14364" max="14364" width="13.7109375" style="7" hidden="1"/>
    <col min="14365" max="14365" width="16.5703125" style="7" hidden="1"/>
    <col min="14366" max="14366" width="15" style="7" hidden="1"/>
    <col min="14367" max="14367" width="12.28515625" style="7" hidden="1"/>
    <col min="14368" max="14592" width="28" style="7" hidden="1"/>
    <col min="14593" max="14593" width="20.85546875" style="7" hidden="1"/>
    <col min="14594" max="14594" width="40.42578125" style="7" hidden="1"/>
    <col min="14595" max="14595" width="46.42578125" style="7" hidden="1"/>
    <col min="14596" max="14597" width="28" style="7" hidden="1"/>
    <col min="14598" max="14598" width="15.5703125" style="7" hidden="1"/>
    <col min="14599" max="14599" width="15.7109375" style="7" hidden="1"/>
    <col min="14600" max="14600" width="14.140625" style="7" hidden="1"/>
    <col min="14601" max="14601" width="16.42578125" style="7" hidden="1"/>
    <col min="14602" max="14602" width="15.28515625" style="7" hidden="1"/>
    <col min="14603" max="14603" width="17.28515625" style="7" hidden="1"/>
    <col min="14604" max="14604" width="14" style="7" hidden="1"/>
    <col min="14605" max="14605" width="16.42578125" style="7" hidden="1"/>
    <col min="14606" max="14606" width="15.28515625" style="7" hidden="1"/>
    <col min="14607" max="14607" width="17.85546875" style="7" hidden="1"/>
    <col min="14608" max="14608" width="13.85546875" style="7" hidden="1"/>
    <col min="14609" max="14609" width="16.42578125" style="7" hidden="1"/>
    <col min="14610" max="14610" width="15.28515625" style="7" hidden="1"/>
    <col min="14611" max="14611" width="17.28515625" style="7" hidden="1"/>
    <col min="14612" max="14612" width="13.5703125" style="7" hidden="1"/>
    <col min="14613" max="14613" width="15.85546875" style="7" hidden="1"/>
    <col min="14614" max="14614" width="15.28515625" style="7" hidden="1"/>
    <col min="14615" max="14615" width="17.28515625" style="7" hidden="1"/>
    <col min="14616" max="14616" width="13.5703125" style="7" hidden="1"/>
    <col min="14617" max="14617" width="16.42578125" style="7" hidden="1"/>
    <col min="14618" max="14618" width="13.28515625" style="7" hidden="1"/>
    <col min="14619" max="14619" width="17.28515625" style="7" hidden="1"/>
    <col min="14620" max="14620" width="13.7109375" style="7" hidden="1"/>
    <col min="14621" max="14621" width="16.5703125" style="7" hidden="1"/>
    <col min="14622" max="14622" width="15" style="7" hidden="1"/>
    <col min="14623" max="14623" width="12.28515625" style="7" hidden="1"/>
    <col min="14624" max="14848" width="28" style="7" hidden="1"/>
    <col min="14849" max="14849" width="20.85546875" style="7" hidden="1"/>
    <col min="14850" max="14850" width="40.42578125" style="7" hidden="1"/>
    <col min="14851" max="14851" width="46.42578125" style="7" hidden="1"/>
    <col min="14852" max="14853" width="28" style="7" hidden="1"/>
    <col min="14854" max="14854" width="15.5703125" style="7" hidden="1"/>
    <col min="14855" max="14855" width="15.7109375" style="7" hidden="1"/>
    <col min="14856" max="14856" width="14.140625" style="7" hidden="1"/>
    <col min="14857" max="14857" width="16.42578125" style="7" hidden="1"/>
    <col min="14858" max="14858" width="15.28515625" style="7" hidden="1"/>
    <col min="14859" max="14859" width="17.28515625" style="7" hidden="1"/>
    <col min="14860" max="14860" width="14" style="7" hidden="1"/>
    <col min="14861" max="14861" width="16.42578125" style="7" hidden="1"/>
    <col min="14862" max="14862" width="15.28515625" style="7" hidden="1"/>
    <col min="14863" max="14863" width="17.85546875" style="7" hidden="1"/>
    <col min="14864" max="14864" width="13.85546875" style="7" hidden="1"/>
    <col min="14865" max="14865" width="16.42578125" style="7" hidden="1"/>
    <col min="14866" max="14866" width="15.28515625" style="7" hidden="1"/>
    <col min="14867" max="14867" width="17.28515625" style="7" hidden="1"/>
    <col min="14868" max="14868" width="13.5703125" style="7" hidden="1"/>
    <col min="14869" max="14869" width="15.85546875" style="7" hidden="1"/>
    <col min="14870" max="14870" width="15.28515625" style="7" hidden="1"/>
    <col min="14871" max="14871" width="17.28515625" style="7" hidden="1"/>
    <col min="14872" max="14872" width="13.5703125" style="7" hidden="1"/>
    <col min="14873" max="14873" width="16.42578125" style="7" hidden="1"/>
    <col min="14874" max="14874" width="13.28515625" style="7" hidden="1"/>
    <col min="14875" max="14875" width="17.28515625" style="7" hidden="1"/>
    <col min="14876" max="14876" width="13.7109375" style="7" hidden="1"/>
    <col min="14877" max="14877" width="16.5703125" style="7" hidden="1"/>
    <col min="14878" max="14878" width="15" style="7" hidden="1"/>
    <col min="14879" max="14879" width="12.28515625" style="7" hidden="1"/>
    <col min="14880" max="15104" width="28" style="7" hidden="1"/>
    <col min="15105" max="15105" width="20.85546875" style="7" hidden="1"/>
    <col min="15106" max="15106" width="40.42578125" style="7" hidden="1"/>
    <col min="15107" max="15107" width="46.42578125" style="7" hidden="1"/>
    <col min="15108" max="15109" width="28" style="7" hidden="1"/>
    <col min="15110" max="15110" width="15.5703125" style="7" hidden="1"/>
    <col min="15111" max="15111" width="15.7109375" style="7" hidden="1"/>
    <col min="15112" max="15112" width="14.140625" style="7" hidden="1"/>
    <col min="15113" max="15113" width="16.42578125" style="7" hidden="1"/>
    <col min="15114" max="15114" width="15.28515625" style="7" hidden="1"/>
    <col min="15115" max="15115" width="17.28515625" style="7" hidden="1"/>
    <col min="15116" max="15116" width="14" style="7" hidden="1"/>
    <col min="15117" max="15117" width="16.42578125" style="7" hidden="1"/>
    <col min="15118" max="15118" width="15.28515625" style="7" hidden="1"/>
    <col min="15119" max="15119" width="17.85546875" style="7" hidden="1"/>
    <col min="15120" max="15120" width="13.85546875" style="7" hidden="1"/>
    <col min="15121" max="15121" width="16.42578125" style="7" hidden="1"/>
    <col min="15122" max="15122" width="15.28515625" style="7" hidden="1"/>
    <col min="15123" max="15123" width="17.28515625" style="7" hidden="1"/>
    <col min="15124" max="15124" width="13.5703125" style="7" hidden="1"/>
    <col min="15125" max="15125" width="15.85546875" style="7" hidden="1"/>
    <col min="15126" max="15126" width="15.28515625" style="7" hidden="1"/>
    <col min="15127" max="15127" width="17.28515625" style="7" hidden="1"/>
    <col min="15128" max="15128" width="13.5703125" style="7" hidden="1"/>
    <col min="15129" max="15129" width="16.42578125" style="7" hidden="1"/>
    <col min="15130" max="15130" width="13.28515625" style="7" hidden="1"/>
    <col min="15131" max="15131" width="17.28515625" style="7" hidden="1"/>
    <col min="15132" max="15132" width="13.7109375" style="7" hidden="1"/>
    <col min="15133" max="15133" width="16.5703125" style="7" hidden="1"/>
    <col min="15134" max="15134" width="15" style="7" hidden="1"/>
    <col min="15135" max="15135" width="12.28515625" style="7" hidden="1"/>
    <col min="15136" max="15360" width="28" style="7" hidden="1"/>
    <col min="15361" max="15361" width="20.85546875" style="7" hidden="1"/>
    <col min="15362" max="15362" width="40.42578125" style="7" hidden="1"/>
    <col min="15363" max="15363" width="46.42578125" style="7" hidden="1"/>
    <col min="15364" max="15365" width="28" style="7" hidden="1"/>
    <col min="15366" max="15366" width="15.5703125" style="7" hidden="1"/>
    <col min="15367" max="15367" width="15.7109375" style="7" hidden="1"/>
    <col min="15368" max="15368" width="14.140625" style="7" hidden="1"/>
    <col min="15369" max="15369" width="16.42578125" style="7" hidden="1"/>
    <col min="15370" max="15370" width="15.28515625" style="7" hidden="1"/>
    <col min="15371" max="15371" width="17.28515625" style="7" hidden="1"/>
    <col min="15372" max="15372" width="14" style="7" hidden="1"/>
    <col min="15373" max="15373" width="16.42578125" style="7" hidden="1"/>
    <col min="15374" max="15374" width="15.28515625" style="7" hidden="1"/>
    <col min="15375" max="15375" width="17.85546875" style="7" hidden="1"/>
    <col min="15376" max="15376" width="13.85546875" style="7" hidden="1"/>
    <col min="15377" max="15377" width="16.42578125" style="7" hidden="1"/>
    <col min="15378" max="15378" width="15.28515625" style="7" hidden="1"/>
    <col min="15379" max="15379" width="17.28515625" style="7" hidden="1"/>
    <col min="15380" max="15380" width="13.5703125" style="7" hidden="1"/>
    <col min="15381" max="15381" width="15.85546875" style="7" hidden="1"/>
    <col min="15382" max="15382" width="15.28515625" style="7" hidden="1"/>
    <col min="15383" max="15383" width="17.28515625" style="7" hidden="1"/>
    <col min="15384" max="15384" width="13.5703125" style="7" hidden="1"/>
    <col min="15385" max="15385" width="16.42578125" style="7" hidden="1"/>
    <col min="15386" max="15386" width="13.28515625" style="7" hidden="1"/>
    <col min="15387" max="15387" width="17.28515625" style="7" hidden="1"/>
    <col min="15388" max="15388" width="13.7109375" style="7" hidden="1"/>
    <col min="15389" max="15389" width="16.5703125" style="7" hidden="1"/>
    <col min="15390" max="15390" width="15" style="7" hidden="1"/>
    <col min="15391" max="15391" width="12.28515625" style="7" hidden="1"/>
    <col min="15392" max="15616" width="28" style="7" hidden="1"/>
    <col min="15617" max="15617" width="20.85546875" style="7" hidden="1"/>
    <col min="15618" max="15618" width="40.42578125" style="7" hidden="1"/>
    <col min="15619" max="15619" width="46.42578125" style="7" hidden="1"/>
    <col min="15620" max="15621" width="28" style="7" hidden="1"/>
    <col min="15622" max="15622" width="15.5703125" style="7" hidden="1"/>
    <col min="15623" max="15623" width="15.7109375" style="7" hidden="1"/>
    <col min="15624" max="15624" width="14.140625" style="7" hidden="1"/>
    <col min="15625" max="15625" width="16.42578125" style="7" hidden="1"/>
    <col min="15626" max="15626" width="15.28515625" style="7" hidden="1"/>
    <col min="15627" max="15627" width="17.28515625" style="7" hidden="1"/>
    <col min="15628" max="15628" width="14" style="7" hidden="1"/>
    <col min="15629" max="15629" width="16.42578125" style="7" hidden="1"/>
    <col min="15630" max="15630" width="15.28515625" style="7" hidden="1"/>
    <col min="15631" max="15631" width="17.85546875" style="7" hidden="1"/>
    <col min="15632" max="15632" width="13.85546875" style="7" hidden="1"/>
    <col min="15633" max="15633" width="16.42578125" style="7" hidden="1"/>
    <col min="15634" max="15634" width="15.28515625" style="7" hidden="1"/>
    <col min="15635" max="15635" width="17.28515625" style="7" hidden="1"/>
    <col min="15636" max="15636" width="13.5703125" style="7" hidden="1"/>
    <col min="15637" max="15637" width="15.85546875" style="7" hidden="1"/>
    <col min="15638" max="15638" width="15.28515625" style="7" hidden="1"/>
    <col min="15639" max="15639" width="17.28515625" style="7" hidden="1"/>
    <col min="15640" max="15640" width="13.5703125" style="7" hidden="1"/>
    <col min="15641" max="15641" width="16.42578125" style="7" hidden="1"/>
    <col min="15642" max="15642" width="13.28515625" style="7" hidden="1"/>
    <col min="15643" max="15643" width="17.28515625" style="7" hidden="1"/>
    <col min="15644" max="15644" width="13.7109375" style="7" hidden="1"/>
    <col min="15645" max="15645" width="16.5703125" style="7" hidden="1"/>
    <col min="15646" max="15646" width="15" style="7" hidden="1"/>
    <col min="15647" max="15647" width="12.28515625" style="7" hidden="1"/>
    <col min="15648" max="15872" width="28" style="7" hidden="1"/>
    <col min="15873" max="15873" width="20.85546875" style="7" hidden="1"/>
    <col min="15874" max="15874" width="40.42578125" style="7" hidden="1"/>
    <col min="15875" max="15875" width="46.42578125" style="7" hidden="1"/>
    <col min="15876" max="15877" width="28" style="7" hidden="1"/>
    <col min="15878" max="15878" width="15.5703125" style="7" hidden="1"/>
    <col min="15879" max="15879" width="15.7109375" style="7" hidden="1"/>
    <col min="15880" max="15880" width="14.140625" style="7" hidden="1"/>
    <col min="15881" max="15881" width="16.42578125" style="7" hidden="1"/>
    <col min="15882" max="15882" width="15.28515625" style="7" hidden="1"/>
    <col min="15883" max="15883" width="17.28515625" style="7" hidden="1"/>
    <col min="15884" max="15884" width="14" style="7" hidden="1"/>
    <col min="15885" max="15885" width="16.42578125" style="7" hidden="1"/>
    <col min="15886" max="15886" width="15.28515625" style="7" hidden="1"/>
    <col min="15887" max="15887" width="17.85546875" style="7" hidden="1"/>
    <col min="15888" max="15888" width="13.85546875" style="7" hidden="1"/>
    <col min="15889" max="15889" width="16.42578125" style="7" hidden="1"/>
    <col min="15890" max="15890" width="15.28515625" style="7" hidden="1"/>
    <col min="15891" max="15891" width="17.28515625" style="7" hidden="1"/>
    <col min="15892" max="15892" width="13.5703125" style="7" hidden="1"/>
    <col min="15893" max="15893" width="15.85546875" style="7" hidden="1"/>
    <col min="15894" max="15894" width="15.28515625" style="7" hidden="1"/>
    <col min="15895" max="15895" width="17.28515625" style="7" hidden="1"/>
    <col min="15896" max="15896" width="13.5703125" style="7" hidden="1"/>
    <col min="15897" max="15897" width="16.42578125" style="7" hidden="1"/>
    <col min="15898" max="15898" width="13.28515625" style="7" hidden="1"/>
    <col min="15899" max="15899" width="17.28515625" style="7" hidden="1"/>
    <col min="15900" max="15900" width="13.7109375" style="7" hidden="1"/>
    <col min="15901" max="15901" width="16.5703125" style="7" hidden="1"/>
    <col min="15902" max="15902" width="15" style="7" hidden="1"/>
    <col min="15903" max="15903" width="12.28515625" style="7" hidden="1"/>
    <col min="15904" max="16128" width="28" style="7" hidden="1"/>
    <col min="16129" max="16129" width="20.85546875" style="7" hidden="1"/>
    <col min="16130" max="16130" width="40.42578125" style="7" hidden="1"/>
    <col min="16131" max="16131" width="46.42578125" style="7" hidden="1"/>
    <col min="16132" max="16133" width="28" style="7" hidden="1"/>
    <col min="16134" max="16134" width="15.5703125" style="7" hidden="1"/>
    <col min="16135" max="16135" width="15.7109375" style="7" hidden="1"/>
    <col min="16136" max="16136" width="14.140625" style="7" hidden="1"/>
    <col min="16137" max="16137" width="16.42578125" style="7" hidden="1"/>
    <col min="16138" max="16138" width="15.28515625" style="7" hidden="1"/>
    <col min="16139" max="16139" width="17.28515625" style="7" hidden="1"/>
    <col min="16140" max="16140" width="14" style="7" hidden="1"/>
    <col min="16141" max="16141" width="16.42578125" style="7" hidden="1"/>
    <col min="16142" max="16142" width="15.28515625" style="7" hidden="1"/>
    <col min="16143" max="16143" width="17.85546875" style="7" hidden="1"/>
    <col min="16144" max="16144" width="13.85546875" style="7" hidden="1"/>
    <col min="16145" max="16145" width="16.42578125" style="7" hidden="1"/>
    <col min="16146" max="16146" width="15.28515625" style="7" hidden="1"/>
    <col min="16147" max="16147" width="17.28515625" style="7" hidden="1"/>
    <col min="16148" max="16148" width="13.5703125" style="7" hidden="1"/>
    <col min="16149" max="16149" width="15.85546875" style="7" hidden="1"/>
    <col min="16150" max="16150" width="15.28515625" style="7" hidden="1"/>
    <col min="16151" max="16151" width="17.28515625" style="7" hidden="1"/>
    <col min="16152" max="16152" width="13.5703125" style="7" hidden="1"/>
    <col min="16153" max="16153" width="16.42578125" style="7" hidden="1"/>
    <col min="16154" max="16154" width="13.28515625" style="7" hidden="1"/>
    <col min="16155" max="16155" width="17.28515625" style="7" hidden="1"/>
    <col min="16156" max="16156" width="13.7109375" style="7" hidden="1"/>
    <col min="16157" max="16157" width="16.5703125" style="7" hidden="1"/>
    <col min="16158" max="16158" width="15" style="7" hidden="1"/>
    <col min="16159" max="16173" width="12.28515625" style="7" hidden="1"/>
    <col min="16174" max="16384" width="28" style="7" hidden="1"/>
  </cols>
  <sheetData>
    <row r="1" spans="1:31" s="1" customFormat="1" ht="14.25" customHeight="1" thickBot="1" x14ac:dyDescent="0.25">
      <c r="A1" s="31" t="s">
        <v>6</v>
      </c>
      <c r="C1" s="3"/>
      <c r="D1" s="2"/>
      <c r="E1" s="2"/>
      <c r="F1" s="2"/>
      <c r="G1" s="2"/>
    </row>
    <row r="2" spans="1:31" s="26" customFormat="1" ht="15" customHeight="1" thickBot="1" x14ac:dyDescent="0.3">
      <c r="A2" s="365"/>
      <c r="B2" s="519" t="s">
        <v>7</v>
      </c>
      <c r="C2" s="519" t="s">
        <v>8</v>
      </c>
      <c r="D2" s="366" t="s">
        <v>42</v>
      </c>
      <c r="E2" s="366" t="s">
        <v>202</v>
      </c>
      <c r="F2" s="615" t="s">
        <v>258</v>
      </c>
      <c r="G2" s="613"/>
      <c r="H2" s="613"/>
      <c r="I2" s="614"/>
      <c r="J2" s="615" t="s">
        <v>9</v>
      </c>
      <c r="K2" s="613"/>
      <c r="L2" s="613"/>
      <c r="M2" s="614"/>
      <c r="N2" s="615" t="s">
        <v>10</v>
      </c>
      <c r="O2" s="613"/>
      <c r="P2" s="613"/>
      <c r="Q2" s="614"/>
      <c r="R2" s="615" t="s">
        <v>11</v>
      </c>
      <c r="S2" s="613"/>
      <c r="T2" s="613"/>
      <c r="U2" s="614"/>
      <c r="V2" s="615" t="s">
        <v>12</v>
      </c>
      <c r="W2" s="613"/>
      <c r="X2" s="613"/>
      <c r="Y2" s="613"/>
      <c r="Z2" s="612" t="s">
        <v>13</v>
      </c>
      <c r="AA2" s="613"/>
      <c r="AB2" s="613"/>
      <c r="AC2" s="614"/>
      <c r="AD2" s="411" t="s">
        <v>14</v>
      </c>
      <c r="AE2" s="421" t="s">
        <v>15</v>
      </c>
    </row>
    <row r="3" spans="1:31" ht="21" customHeight="1" thickBot="1" x14ac:dyDescent="0.25">
      <c r="A3" s="236"/>
      <c r="B3" s="508" t="s">
        <v>16</v>
      </c>
      <c r="C3" s="518"/>
      <c r="D3" s="509" t="s">
        <v>233</v>
      </c>
      <c r="E3" s="509" t="s">
        <v>119</v>
      </c>
      <c r="F3" s="516" t="s">
        <v>201</v>
      </c>
      <c r="G3" s="309" t="s">
        <v>18</v>
      </c>
      <c r="H3" s="310" t="s">
        <v>17</v>
      </c>
      <c r="I3" s="311" t="s">
        <v>19</v>
      </c>
      <c r="J3" s="339" t="s">
        <v>201</v>
      </c>
      <c r="K3" s="340" t="s">
        <v>18</v>
      </c>
      <c r="L3" s="341" t="s">
        <v>17</v>
      </c>
      <c r="M3" s="342" t="s">
        <v>19</v>
      </c>
      <c r="N3" s="339" t="s">
        <v>201</v>
      </c>
      <c r="O3" s="340" t="s">
        <v>18</v>
      </c>
      <c r="P3" s="341" t="s">
        <v>17</v>
      </c>
      <c r="Q3" s="342" t="s">
        <v>19</v>
      </c>
      <c r="R3" s="339" t="s">
        <v>201</v>
      </c>
      <c r="S3" s="340" t="s">
        <v>18</v>
      </c>
      <c r="T3" s="341" t="s">
        <v>17</v>
      </c>
      <c r="U3" s="342" t="s">
        <v>19</v>
      </c>
      <c r="V3" s="339" t="s">
        <v>201</v>
      </c>
      <c r="W3" s="340" t="s">
        <v>18</v>
      </c>
      <c r="X3" s="341" t="s">
        <v>17</v>
      </c>
      <c r="Y3" s="342" t="s">
        <v>19</v>
      </c>
      <c r="Z3" s="339" t="s">
        <v>201</v>
      </c>
      <c r="AA3" s="340" t="s">
        <v>18</v>
      </c>
      <c r="AB3" s="341" t="s">
        <v>17</v>
      </c>
      <c r="AC3" s="342" t="s">
        <v>19</v>
      </c>
      <c r="AD3" s="417" t="s">
        <v>18</v>
      </c>
      <c r="AE3" s="412"/>
    </row>
    <row r="4" spans="1:31" ht="15" customHeight="1" x14ac:dyDescent="0.2">
      <c r="A4" s="236" t="s">
        <v>3</v>
      </c>
      <c r="B4" s="6" t="s">
        <v>20</v>
      </c>
      <c r="C4" s="572" t="s">
        <v>285</v>
      </c>
      <c r="D4" s="510">
        <v>10000</v>
      </c>
      <c r="E4" s="510">
        <v>20</v>
      </c>
      <c r="F4" s="54">
        <v>0</v>
      </c>
      <c r="G4" s="317">
        <f>F4*$E4</f>
        <v>0</v>
      </c>
      <c r="H4" s="277">
        <f>(G4/20)*10000</f>
        <v>0</v>
      </c>
      <c r="I4" s="318">
        <f>G4*1.5</f>
        <v>0</v>
      </c>
      <c r="J4" s="54">
        <v>0</v>
      </c>
      <c r="K4" s="317">
        <f>J4*$E4</f>
        <v>0</v>
      </c>
      <c r="L4" s="277">
        <f>(K4/20)*10000</f>
        <v>0</v>
      </c>
      <c r="M4" s="318">
        <f>K4*1.5</f>
        <v>0</v>
      </c>
      <c r="N4" s="224"/>
      <c r="O4" s="317">
        <f>N4*$E4</f>
        <v>0</v>
      </c>
      <c r="P4" s="277">
        <f>(O4/20)*10000</f>
        <v>0</v>
      </c>
      <c r="Q4" s="318">
        <f>O4*1.5</f>
        <v>0</v>
      </c>
      <c r="R4" s="224"/>
      <c r="S4" s="317">
        <f>R4*$E4</f>
        <v>0</v>
      </c>
      <c r="T4" s="277">
        <f>(S4/20)*10000</f>
        <v>0</v>
      </c>
      <c r="U4" s="318">
        <f>S4*1.5</f>
        <v>0</v>
      </c>
      <c r="V4" s="224"/>
      <c r="W4" s="317">
        <f>V4*$E4</f>
        <v>0</v>
      </c>
      <c r="X4" s="277">
        <f>(W4/20)*10000</f>
        <v>0</v>
      </c>
      <c r="Y4" s="318">
        <f>W4*1.5</f>
        <v>0</v>
      </c>
      <c r="Z4" s="224"/>
      <c r="AA4" s="317">
        <f>Z4*$E4</f>
        <v>0</v>
      </c>
      <c r="AB4" s="277">
        <f>(AA4/20)*10000</f>
        <v>0</v>
      </c>
      <c r="AC4" s="318">
        <f>AA4*1.5</f>
        <v>0</v>
      </c>
      <c r="AD4" s="418">
        <f t="shared" ref="AD4:AE7" si="0">G4+K4+O4+S4+W4+AA4</f>
        <v>0</v>
      </c>
      <c r="AE4" s="413">
        <f t="shared" si="0"/>
        <v>0</v>
      </c>
    </row>
    <row r="5" spans="1:31" ht="15" customHeight="1" x14ac:dyDescent="0.2">
      <c r="A5" s="236"/>
      <c r="B5" s="6" t="s">
        <v>21</v>
      </c>
      <c r="C5" s="572" t="s">
        <v>286</v>
      </c>
      <c r="D5" s="510">
        <v>10000</v>
      </c>
      <c r="E5" s="510">
        <v>6</v>
      </c>
      <c r="F5" s="54">
        <v>0</v>
      </c>
      <c r="G5" s="319">
        <f>F5*$E5</f>
        <v>0</v>
      </c>
      <c r="H5" s="277">
        <f>(G5/6)*10000</f>
        <v>0</v>
      </c>
      <c r="I5" s="318">
        <f>G5*2</f>
        <v>0</v>
      </c>
      <c r="J5" s="54">
        <v>0</v>
      </c>
      <c r="K5" s="319">
        <f>J5*$E5</f>
        <v>0</v>
      </c>
      <c r="L5" s="277">
        <f>(K5/6)*10000</f>
        <v>0</v>
      </c>
      <c r="M5" s="318">
        <f>K5*2</f>
        <v>0</v>
      </c>
      <c r="N5" s="224">
        <v>0</v>
      </c>
      <c r="O5" s="319">
        <f>N5*$E5</f>
        <v>0</v>
      </c>
      <c r="P5" s="277">
        <f>(O5/6)*10000</f>
        <v>0</v>
      </c>
      <c r="Q5" s="318">
        <f>O5*2</f>
        <v>0</v>
      </c>
      <c r="R5" s="224"/>
      <c r="S5" s="319">
        <f>R5*$E5</f>
        <v>0</v>
      </c>
      <c r="T5" s="277">
        <f>(S5/6)*10000</f>
        <v>0</v>
      </c>
      <c r="U5" s="318">
        <f>S5*2</f>
        <v>0</v>
      </c>
      <c r="V5" s="224"/>
      <c r="W5" s="319">
        <f>V5*$E5</f>
        <v>0</v>
      </c>
      <c r="X5" s="277">
        <f>(W5/6)*10000</f>
        <v>0</v>
      </c>
      <c r="Y5" s="318">
        <f>W5*2</f>
        <v>0</v>
      </c>
      <c r="Z5" s="224"/>
      <c r="AA5" s="319">
        <f>Z5*$E5</f>
        <v>0</v>
      </c>
      <c r="AB5" s="277">
        <f>(AA5/6)*10000</f>
        <v>0</v>
      </c>
      <c r="AC5" s="318">
        <f>AA5*2</f>
        <v>0</v>
      </c>
      <c r="AD5" s="418">
        <f t="shared" si="0"/>
        <v>0</v>
      </c>
      <c r="AE5" s="413">
        <f t="shared" si="0"/>
        <v>0</v>
      </c>
    </row>
    <row r="6" spans="1:31" ht="15" customHeight="1" x14ac:dyDescent="0.2">
      <c r="A6" s="236" t="s">
        <v>5</v>
      </c>
      <c r="B6" s="6" t="s">
        <v>234</v>
      </c>
      <c r="C6" s="572" t="s">
        <v>287</v>
      </c>
      <c r="D6" s="510">
        <v>20000</v>
      </c>
      <c r="E6" s="510">
        <v>48</v>
      </c>
      <c r="F6" s="54">
        <v>0</v>
      </c>
      <c r="G6" s="319">
        <f>F6*$E6</f>
        <v>0</v>
      </c>
      <c r="H6" s="277">
        <f>(G6/48)*20000</f>
        <v>0</v>
      </c>
      <c r="I6" s="318">
        <f>G6*2</f>
        <v>0</v>
      </c>
      <c r="J6" s="54"/>
      <c r="K6" s="319">
        <f>J6*$E6</f>
        <v>0</v>
      </c>
      <c r="L6" s="277">
        <f>(K6/48)*20000</f>
        <v>0</v>
      </c>
      <c r="M6" s="318">
        <f>K6*2</f>
        <v>0</v>
      </c>
      <c r="N6" s="224"/>
      <c r="O6" s="319">
        <f>N6*$E6</f>
        <v>0</v>
      </c>
      <c r="P6" s="277">
        <f>(O6/48)*20000</f>
        <v>0</v>
      </c>
      <c r="Q6" s="318">
        <f>O6*2</f>
        <v>0</v>
      </c>
      <c r="R6" s="224">
        <v>0</v>
      </c>
      <c r="S6" s="319">
        <f>R6*$E6</f>
        <v>0</v>
      </c>
      <c r="T6" s="277">
        <f>(S6/48)*20000</f>
        <v>0</v>
      </c>
      <c r="U6" s="318">
        <f>S6*2</f>
        <v>0</v>
      </c>
      <c r="V6" s="224">
        <v>0</v>
      </c>
      <c r="W6" s="319">
        <f>V6*$E6</f>
        <v>0</v>
      </c>
      <c r="X6" s="277">
        <f>(W6/48)*20000</f>
        <v>0</v>
      </c>
      <c r="Y6" s="318">
        <f>W6*2</f>
        <v>0</v>
      </c>
      <c r="Z6" s="224">
        <v>0</v>
      </c>
      <c r="AA6" s="319">
        <f>Z6*$E6</f>
        <v>0</v>
      </c>
      <c r="AB6" s="277">
        <f>(AA6/48)*20000</f>
        <v>0</v>
      </c>
      <c r="AC6" s="318">
        <f>AA6*2</f>
        <v>0</v>
      </c>
      <c r="AD6" s="418">
        <f t="shared" si="0"/>
        <v>0</v>
      </c>
      <c r="AE6" s="413">
        <f t="shared" si="0"/>
        <v>0</v>
      </c>
    </row>
    <row r="7" spans="1:31" ht="15" customHeight="1" x14ac:dyDescent="0.2">
      <c r="A7" s="236" t="s">
        <v>23</v>
      </c>
      <c r="B7" s="6" t="s">
        <v>24</v>
      </c>
      <c r="C7" s="572" t="s">
        <v>288</v>
      </c>
      <c r="D7" s="510">
        <v>20000</v>
      </c>
      <c r="E7" s="510">
        <v>120</v>
      </c>
      <c r="F7" s="54">
        <v>0</v>
      </c>
      <c r="G7" s="319">
        <f>F7*$E7</f>
        <v>0</v>
      </c>
      <c r="H7" s="277">
        <f>G7/120*20000</f>
        <v>0</v>
      </c>
      <c r="I7" s="318"/>
      <c r="J7" s="54">
        <v>0</v>
      </c>
      <c r="K7" s="319">
        <f>J7*$E7</f>
        <v>0</v>
      </c>
      <c r="L7" s="277">
        <f>K7/120*20000</f>
        <v>0</v>
      </c>
      <c r="M7" s="318"/>
      <c r="N7" s="224">
        <v>0</v>
      </c>
      <c r="O7" s="319">
        <f>N7*$E7</f>
        <v>0</v>
      </c>
      <c r="P7" s="277">
        <f>O7/120*20000</f>
        <v>0</v>
      </c>
      <c r="Q7" s="318"/>
      <c r="R7" s="224">
        <v>0</v>
      </c>
      <c r="S7" s="319">
        <f>R7*$E7</f>
        <v>0</v>
      </c>
      <c r="T7" s="277">
        <f>S7/120*20000</f>
        <v>0</v>
      </c>
      <c r="U7" s="318"/>
      <c r="V7" s="224"/>
      <c r="W7" s="319">
        <f>V7*$E7</f>
        <v>0</v>
      </c>
      <c r="X7" s="277">
        <f>W7/120*20000</f>
        <v>0</v>
      </c>
      <c r="Y7" s="318"/>
      <c r="Z7" s="224">
        <v>0</v>
      </c>
      <c r="AA7" s="319">
        <f>Z7*$E7</f>
        <v>0</v>
      </c>
      <c r="AB7" s="277">
        <f>AA7/120*20000</f>
        <v>0</v>
      </c>
      <c r="AC7" s="318"/>
      <c r="AD7" s="418">
        <f t="shared" si="0"/>
        <v>0</v>
      </c>
      <c r="AE7" s="413">
        <f t="shared" si="0"/>
        <v>0</v>
      </c>
    </row>
    <row r="8" spans="1:31" ht="15" customHeight="1" x14ac:dyDescent="0.2">
      <c r="A8" s="236" t="s">
        <v>25</v>
      </c>
      <c r="B8" s="367" t="s">
        <v>26</v>
      </c>
      <c r="C8" s="573"/>
      <c r="D8" s="510"/>
      <c r="E8" s="511" t="s">
        <v>233</v>
      </c>
      <c r="F8" s="312" t="s">
        <v>201</v>
      </c>
      <c r="G8" s="320" t="s">
        <v>27</v>
      </c>
      <c r="H8" s="321" t="s">
        <v>17</v>
      </c>
      <c r="I8" s="322" t="s">
        <v>28</v>
      </c>
      <c r="J8" s="335" t="s">
        <v>201</v>
      </c>
      <c r="K8" s="336" t="s">
        <v>27</v>
      </c>
      <c r="L8" s="337" t="s">
        <v>17</v>
      </c>
      <c r="M8" s="343" t="s">
        <v>28</v>
      </c>
      <c r="N8" s="335" t="s">
        <v>201</v>
      </c>
      <c r="O8" s="336" t="s">
        <v>27</v>
      </c>
      <c r="P8" s="337" t="s">
        <v>17</v>
      </c>
      <c r="Q8" s="343" t="s">
        <v>28</v>
      </c>
      <c r="R8" s="335" t="s">
        <v>201</v>
      </c>
      <c r="S8" s="336" t="s">
        <v>27</v>
      </c>
      <c r="T8" s="337" t="s">
        <v>17</v>
      </c>
      <c r="U8" s="343" t="s">
        <v>28</v>
      </c>
      <c r="V8" s="335" t="s">
        <v>201</v>
      </c>
      <c r="W8" s="336" t="s">
        <v>27</v>
      </c>
      <c r="X8" s="337" t="s">
        <v>17</v>
      </c>
      <c r="Y8" s="343" t="s">
        <v>28</v>
      </c>
      <c r="Z8" s="335" t="s">
        <v>201</v>
      </c>
      <c r="AA8" s="336" t="s">
        <v>27</v>
      </c>
      <c r="AB8" s="337" t="s">
        <v>17</v>
      </c>
      <c r="AC8" s="343" t="s">
        <v>28</v>
      </c>
      <c r="AD8" s="419" t="s">
        <v>29</v>
      </c>
      <c r="AE8" s="414"/>
    </row>
    <row r="9" spans="1:31" ht="15" customHeight="1" x14ac:dyDescent="0.2">
      <c r="A9" s="236" t="s">
        <v>30</v>
      </c>
      <c r="B9" s="6" t="s">
        <v>203</v>
      </c>
      <c r="C9" s="572" t="s">
        <v>289</v>
      </c>
      <c r="D9" s="510">
        <v>15000</v>
      </c>
      <c r="E9" s="510">
        <v>60000</v>
      </c>
      <c r="F9" s="54"/>
      <c r="G9" s="319">
        <f>F9*$E9</f>
        <v>0</v>
      </c>
      <c r="H9" s="277">
        <f>G9/4</f>
        <v>0</v>
      </c>
      <c r="I9" s="318">
        <f>(G9/1000)*2</f>
        <v>0</v>
      </c>
      <c r="J9" s="54"/>
      <c r="K9" s="319">
        <f>J9*$E9</f>
        <v>0</v>
      </c>
      <c r="L9" s="277">
        <f>K9/4</f>
        <v>0</v>
      </c>
      <c r="M9" s="318">
        <f>(K9/1000)*2</f>
        <v>0</v>
      </c>
      <c r="N9" s="224">
        <v>0</v>
      </c>
      <c r="O9" s="319">
        <f>N9*$E9</f>
        <v>0</v>
      </c>
      <c r="P9" s="277">
        <f>O9/4</f>
        <v>0</v>
      </c>
      <c r="Q9" s="318">
        <f>(O9/1000)*2</f>
        <v>0</v>
      </c>
      <c r="R9" s="224">
        <v>0</v>
      </c>
      <c r="S9" s="319">
        <f>R9*$E9</f>
        <v>0</v>
      </c>
      <c r="T9" s="277">
        <f>S9/4</f>
        <v>0</v>
      </c>
      <c r="U9" s="318">
        <f>(S9/1000)*2</f>
        <v>0</v>
      </c>
      <c r="V9" s="224"/>
      <c r="W9" s="319">
        <f>V9*$E9</f>
        <v>0</v>
      </c>
      <c r="X9" s="277">
        <f>W9/4</f>
        <v>0</v>
      </c>
      <c r="Y9" s="318">
        <f>(W9/1000)*2</f>
        <v>0</v>
      </c>
      <c r="Z9" s="224">
        <v>0</v>
      </c>
      <c r="AA9" s="319">
        <f>Z9*$E9</f>
        <v>0</v>
      </c>
      <c r="AB9" s="277">
        <f>AA9/4</f>
        <v>0</v>
      </c>
      <c r="AC9" s="318">
        <f>(AA9/1000)*2</f>
        <v>0</v>
      </c>
      <c r="AD9" s="418">
        <f>G9+K9+O9+W9+S9+AA9</f>
        <v>0</v>
      </c>
      <c r="AE9" s="413">
        <f>H9+L9+P9+T9+X9+AB9</f>
        <v>0</v>
      </c>
    </row>
    <row r="10" spans="1:31" ht="15" customHeight="1" x14ac:dyDescent="0.2">
      <c r="A10" s="236" t="s">
        <v>32</v>
      </c>
      <c r="B10" s="6" t="s">
        <v>204</v>
      </c>
      <c r="C10" s="572" t="s">
        <v>284</v>
      </c>
      <c r="D10" s="510">
        <v>20000</v>
      </c>
      <c r="E10" s="510">
        <v>80000</v>
      </c>
      <c r="F10" s="54">
        <v>0</v>
      </c>
      <c r="G10" s="319">
        <f>F10*$E10</f>
        <v>0</v>
      </c>
      <c r="H10" s="277">
        <f>G10/4</f>
        <v>0</v>
      </c>
      <c r="I10" s="318">
        <f>(G10/1000)*2</f>
        <v>0</v>
      </c>
      <c r="J10" s="54">
        <v>0</v>
      </c>
      <c r="K10" s="319">
        <f>J10*$E10</f>
        <v>0</v>
      </c>
      <c r="L10" s="277">
        <f>K10/4</f>
        <v>0</v>
      </c>
      <c r="M10" s="318">
        <f>(K10/1000)*2</f>
        <v>0</v>
      </c>
      <c r="N10" s="224">
        <v>0</v>
      </c>
      <c r="O10" s="319">
        <f>N10*$E10</f>
        <v>0</v>
      </c>
      <c r="P10" s="277">
        <f>O10/4</f>
        <v>0</v>
      </c>
      <c r="Q10" s="318">
        <f>(O10/1000)*2</f>
        <v>0</v>
      </c>
      <c r="R10" s="224">
        <v>0</v>
      </c>
      <c r="S10" s="319">
        <f>R10*$E10</f>
        <v>0</v>
      </c>
      <c r="T10" s="277">
        <f>S10/4</f>
        <v>0</v>
      </c>
      <c r="U10" s="318">
        <f>(S10/1000)*2</f>
        <v>0</v>
      </c>
      <c r="V10" s="224">
        <v>0</v>
      </c>
      <c r="W10" s="319">
        <f>V10*$E10</f>
        <v>0</v>
      </c>
      <c r="X10" s="277">
        <f>W10/4</f>
        <v>0</v>
      </c>
      <c r="Y10" s="318">
        <f>(W10/1000)*2</f>
        <v>0</v>
      </c>
      <c r="Z10" s="224">
        <v>0</v>
      </c>
      <c r="AA10" s="319">
        <f>Z10*$E10</f>
        <v>0</v>
      </c>
      <c r="AB10" s="277">
        <f>AA10/4</f>
        <v>0</v>
      </c>
      <c r="AC10" s="318">
        <f>(AA10/1000)*2</f>
        <v>0</v>
      </c>
      <c r="AD10" s="418">
        <f>G10+K10+O10+W10+S10+AA10</f>
        <v>0</v>
      </c>
      <c r="AE10" s="413">
        <f>H10+L10+P10+T10+X10+AB10</f>
        <v>0</v>
      </c>
    </row>
    <row r="11" spans="1:31" ht="15" customHeight="1" x14ac:dyDescent="0.2">
      <c r="A11" s="236" t="s">
        <v>34</v>
      </c>
      <c r="B11" s="6" t="s">
        <v>33</v>
      </c>
      <c r="C11" s="572" t="s">
        <v>290</v>
      </c>
      <c r="D11" s="510">
        <v>15000</v>
      </c>
      <c r="E11" s="510">
        <v>120000</v>
      </c>
      <c r="F11" s="54">
        <v>0</v>
      </c>
      <c r="G11" s="319">
        <f>F11*$E11</f>
        <v>0</v>
      </c>
      <c r="H11" s="277">
        <f>G11/8</f>
        <v>0</v>
      </c>
      <c r="I11" s="318">
        <f>(G11/1000)*2</f>
        <v>0</v>
      </c>
      <c r="J11" s="54"/>
      <c r="K11" s="319">
        <f>J11*$E11</f>
        <v>0</v>
      </c>
      <c r="L11" s="277">
        <f>K11/8</f>
        <v>0</v>
      </c>
      <c r="M11" s="318">
        <f>(K11/1000)*2</f>
        <v>0</v>
      </c>
      <c r="N11" s="224">
        <v>0</v>
      </c>
      <c r="O11" s="319">
        <f>N11*$E11</f>
        <v>0</v>
      </c>
      <c r="P11" s="277">
        <f>O11/8</f>
        <v>0</v>
      </c>
      <c r="Q11" s="318">
        <f>(O11/1000)*2</f>
        <v>0</v>
      </c>
      <c r="R11" s="224">
        <v>0</v>
      </c>
      <c r="S11" s="319">
        <f>R11*$E11</f>
        <v>0</v>
      </c>
      <c r="T11" s="277">
        <f>S11/8</f>
        <v>0</v>
      </c>
      <c r="U11" s="318">
        <f>(S11/1000)*2</f>
        <v>0</v>
      </c>
      <c r="V11" s="224">
        <v>0</v>
      </c>
      <c r="W11" s="319">
        <f>V11*$E11</f>
        <v>0</v>
      </c>
      <c r="X11" s="277">
        <f>W11/8</f>
        <v>0</v>
      </c>
      <c r="Y11" s="318">
        <f>(W11/1000)*2</f>
        <v>0</v>
      </c>
      <c r="Z11" s="224">
        <v>0</v>
      </c>
      <c r="AA11" s="319">
        <f>Z11*$E11</f>
        <v>0</v>
      </c>
      <c r="AB11" s="277">
        <f>AA11/8</f>
        <v>0</v>
      </c>
      <c r="AC11" s="318">
        <f>(AA11/1000)*2</f>
        <v>0</v>
      </c>
      <c r="AD11" s="418">
        <f>G11+K11+O11+W11+S11+AA11</f>
        <v>0</v>
      </c>
      <c r="AE11" s="413">
        <f>H11+L11+P11+T11+X11+AB11</f>
        <v>0</v>
      </c>
    </row>
    <row r="12" spans="1:31" ht="15" customHeight="1" x14ac:dyDescent="0.2">
      <c r="A12" s="236" t="s">
        <v>36</v>
      </c>
      <c r="B12" s="367" t="s">
        <v>35</v>
      </c>
      <c r="C12" s="574"/>
      <c r="D12" s="512"/>
      <c r="E12" s="512"/>
      <c r="F12" s="312" t="s">
        <v>201</v>
      </c>
      <c r="G12" s="320" t="s">
        <v>27</v>
      </c>
      <c r="H12" s="321" t="s">
        <v>17</v>
      </c>
      <c r="I12" s="322" t="s">
        <v>28</v>
      </c>
      <c r="J12" s="312" t="s">
        <v>201</v>
      </c>
      <c r="K12" s="336" t="s">
        <v>27</v>
      </c>
      <c r="L12" s="337" t="s">
        <v>17</v>
      </c>
      <c r="M12" s="343" t="s">
        <v>28</v>
      </c>
      <c r="N12" s="335" t="s">
        <v>201</v>
      </c>
      <c r="O12" s="336" t="s">
        <v>27</v>
      </c>
      <c r="P12" s="337" t="s">
        <v>17</v>
      </c>
      <c r="Q12" s="343" t="s">
        <v>28</v>
      </c>
      <c r="R12" s="335" t="s">
        <v>201</v>
      </c>
      <c r="S12" s="336" t="s">
        <v>27</v>
      </c>
      <c r="T12" s="337" t="s">
        <v>17</v>
      </c>
      <c r="U12" s="343" t="s">
        <v>28</v>
      </c>
      <c r="V12" s="335" t="s">
        <v>201</v>
      </c>
      <c r="W12" s="336" t="s">
        <v>27</v>
      </c>
      <c r="X12" s="337" t="s">
        <v>17</v>
      </c>
      <c r="Y12" s="343" t="s">
        <v>28</v>
      </c>
      <c r="Z12" s="335" t="s">
        <v>201</v>
      </c>
      <c r="AA12" s="336" t="s">
        <v>27</v>
      </c>
      <c r="AB12" s="337" t="s">
        <v>17</v>
      </c>
      <c r="AC12" s="343" t="s">
        <v>28</v>
      </c>
      <c r="AD12" s="419" t="s">
        <v>29</v>
      </c>
      <c r="AE12" s="414"/>
    </row>
    <row r="13" spans="1:31" ht="15" customHeight="1" x14ac:dyDescent="0.2">
      <c r="A13" s="236" t="s">
        <v>38</v>
      </c>
      <c r="B13" s="6" t="s">
        <v>37</v>
      </c>
      <c r="C13" s="572" t="s">
        <v>291</v>
      </c>
      <c r="D13" s="510">
        <v>5000</v>
      </c>
      <c r="E13" s="510">
        <v>5000</v>
      </c>
      <c r="F13" s="54"/>
      <c r="G13" s="319">
        <f>F13*$D$13</f>
        <v>0</v>
      </c>
      <c r="H13" s="277">
        <f>G13</f>
        <v>0</v>
      </c>
      <c r="I13" s="318">
        <f>(H13/1000)*3</f>
        <v>0</v>
      </c>
      <c r="J13" s="54"/>
      <c r="K13" s="319">
        <f>J13*$D$13</f>
        <v>0</v>
      </c>
      <c r="L13" s="277">
        <f>K13</f>
        <v>0</v>
      </c>
      <c r="M13" s="318">
        <f>(L13/1000)*3</f>
        <v>0</v>
      </c>
      <c r="N13" s="224">
        <v>0</v>
      </c>
      <c r="O13" s="319">
        <f>N13*$D$13</f>
        <v>0</v>
      </c>
      <c r="P13" s="277">
        <f>O13</f>
        <v>0</v>
      </c>
      <c r="Q13" s="318">
        <f>(P13/1000)*3</f>
        <v>0</v>
      </c>
      <c r="R13" s="224">
        <v>0</v>
      </c>
      <c r="S13" s="319">
        <f>R13*$D$13</f>
        <v>0</v>
      </c>
      <c r="T13" s="277">
        <f>S13</f>
        <v>0</v>
      </c>
      <c r="U13" s="318">
        <f>(T13/1000)*3</f>
        <v>0</v>
      </c>
      <c r="V13" s="224">
        <v>0</v>
      </c>
      <c r="W13" s="319">
        <f>V13*$D$13</f>
        <v>0</v>
      </c>
      <c r="X13" s="277">
        <f>W13</f>
        <v>0</v>
      </c>
      <c r="Y13" s="318">
        <f>(X13/1000)*3</f>
        <v>0</v>
      </c>
      <c r="Z13" s="224">
        <v>0</v>
      </c>
      <c r="AA13" s="319">
        <f>Z13*$D$13</f>
        <v>0</v>
      </c>
      <c r="AB13" s="277">
        <f>AA13</f>
        <v>0</v>
      </c>
      <c r="AC13" s="318">
        <f>(AB13/1000)*3</f>
        <v>0</v>
      </c>
      <c r="AD13" s="418">
        <f>G13+K13+O13+W13+S13+AA13</f>
        <v>0</v>
      </c>
      <c r="AE13" s="413">
        <f>H13+L13+P13+T13+X13+AB13</f>
        <v>0</v>
      </c>
    </row>
    <row r="14" spans="1:31" ht="15" customHeight="1" x14ac:dyDescent="0.2">
      <c r="A14" s="236" t="s">
        <v>14</v>
      </c>
      <c r="B14" s="6" t="s">
        <v>39</v>
      </c>
      <c r="C14" s="572" t="s">
        <v>292</v>
      </c>
      <c r="D14" s="510">
        <v>40000</v>
      </c>
      <c r="E14" s="510">
        <v>40000</v>
      </c>
      <c r="F14" s="54">
        <v>0</v>
      </c>
      <c r="G14" s="319">
        <f>F14*$E14</f>
        <v>0</v>
      </c>
      <c r="H14" s="277">
        <f>G14</f>
        <v>0</v>
      </c>
      <c r="I14" s="318">
        <f>(H14/1000)*4</f>
        <v>0</v>
      </c>
      <c r="J14" s="54">
        <v>0</v>
      </c>
      <c r="K14" s="319">
        <f>J14*$E14</f>
        <v>0</v>
      </c>
      <c r="L14" s="277">
        <f>K14</f>
        <v>0</v>
      </c>
      <c r="M14" s="318">
        <f>(L14/1000)*4</f>
        <v>0</v>
      </c>
      <c r="N14" s="224">
        <v>1</v>
      </c>
      <c r="O14" s="319">
        <f>N14*$E14</f>
        <v>40000</v>
      </c>
      <c r="P14" s="277">
        <f>O14</f>
        <v>40000</v>
      </c>
      <c r="Q14" s="318">
        <f>(P14/1000)*4</f>
        <v>160</v>
      </c>
      <c r="R14" s="224">
        <v>0</v>
      </c>
      <c r="S14" s="319">
        <f>R14*$E14</f>
        <v>0</v>
      </c>
      <c r="T14" s="277">
        <f>S14</f>
        <v>0</v>
      </c>
      <c r="U14" s="318">
        <f>(T14/1000)*4</f>
        <v>0</v>
      </c>
      <c r="V14" s="224">
        <v>0</v>
      </c>
      <c r="W14" s="319">
        <f>V14*$E14</f>
        <v>0</v>
      </c>
      <c r="X14" s="277">
        <f>W14</f>
        <v>0</v>
      </c>
      <c r="Y14" s="318">
        <f>(X14/1000)*4</f>
        <v>0</v>
      </c>
      <c r="Z14" s="224">
        <v>0</v>
      </c>
      <c r="AA14" s="319">
        <f>Z14*$E14</f>
        <v>0</v>
      </c>
      <c r="AB14" s="277">
        <f>AA14</f>
        <v>0</v>
      </c>
      <c r="AC14" s="318">
        <f>(AB14/1000)*4</f>
        <v>0</v>
      </c>
      <c r="AD14" s="418">
        <f>G14+K14+O14+W14+S14+AA14</f>
        <v>40000</v>
      </c>
      <c r="AE14" s="413">
        <f>H14+L14+P14+T14+X14+AB14</f>
        <v>40000</v>
      </c>
    </row>
    <row r="15" spans="1:31" ht="15" customHeight="1" x14ac:dyDescent="0.2">
      <c r="A15" s="236" t="s">
        <v>15</v>
      </c>
      <c r="B15" s="6" t="s">
        <v>294</v>
      </c>
      <c r="C15" s="572" t="s">
        <v>293</v>
      </c>
      <c r="D15" s="510">
        <v>80000</v>
      </c>
      <c r="E15" s="510">
        <v>80000</v>
      </c>
      <c r="F15" s="54">
        <v>0</v>
      </c>
      <c r="G15" s="319">
        <f>F15*$E15</f>
        <v>0</v>
      </c>
      <c r="H15" s="277">
        <f>G15</f>
        <v>0</v>
      </c>
      <c r="I15" s="318">
        <f>(H15/1000)*5</f>
        <v>0</v>
      </c>
      <c r="J15" s="54">
        <v>0</v>
      </c>
      <c r="K15" s="319">
        <f>J15*$E15</f>
        <v>0</v>
      </c>
      <c r="L15" s="277">
        <f>K15</f>
        <v>0</v>
      </c>
      <c r="M15" s="318">
        <f>(L15/1000)*5</f>
        <v>0</v>
      </c>
      <c r="N15" s="313"/>
      <c r="O15" s="323"/>
      <c r="P15" s="277"/>
      <c r="Q15" s="324"/>
      <c r="R15" s="313"/>
      <c r="S15" s="323"/>
      <c r="T15" s="277"/>
      <c r="U15" s="324"/>
      <c r="V15" s="313"/>
      <c r="W15" s="323"/>
      <c r="X15" s="277"/>
      <c r="Y15" s="324"/>
      <c r="Z15" s="313"/>
      <c r="AA15" s="323"/>
      <c r="AB15" s="277"/>
      <c r="AC15" s="324"/>
      <c r="AD15" s="418">
        <f>G15+K15+O15+W15+S15+AA15</f>
        <v>0</v>
      </c>
      <c r="AE15" s="413">
        <f>H15+L15+P15+T15+X15+AB15</f>
        <v>0</v>
      </c>
    </row>
    <row r="16" spans="1:31" ht="15" customHeight="1" x14ac:dyDescent="0.2">
      <c r="A16" s="237"/>
      <c r="B16" s="367" t="s">
        <v>240</v>
      </c>
      <c r="C16" s="574"/>
      <c r="D16" s="512"/>
      <c r="E16" s="512"/>
      <c r="F16" s="312" t="s">
        <v>201</v>
      </c>
      <c r="G16" s="320" t="s">
        <v>27</v>
      </c>
      <c r="H16" s="321" t="s">
        <v>17</v>
      </c>
      <c r="I16" s="322" t="s">
        <v>28</v>
      </c>
      <c r="J16" s="312" t="s">
        <v>201</v>
      </c>
      <c r="K16" s="336" t="s">
        <v>27</v>
      </c>
      <c r="L16" s="337" t="s">
        <v>17</v>
      </c>
      <c r="M16" s="343" t="s">
        <v>28</v>
      </c>
      <c r="N16" s="335" t="s">
        <v>201</v>
      </c>
      <c r="O16" s="336" t="s">
        <v>27</v>
      </c>
      <c r="P16" s="337" t="s">
        <v>42</v>
      </c>
      <c r="Q16" s="343" t="s">
        <v>28</v>
      </c>
      <c r="R16" s="335" t="s">
        <v>201</v>
      </c>
      <c r="S16" s="336" t="s">
        <v>27</v>
      </c>
      <c r="T16" s="337" t="s">
        <v>17</v>
      </c>
      <c r="U16" s="343" t="s">
        <v>28</v>
      </c>
      <c r="V16" s="335" t="s">
        <v>201</v>
      </c>
      <c r="W16" s="336" t="s">
        <v>27</v>
      </c>
      <c r="X16" s="337" t="s">
        <v>17</v>
      </c>
      <c r="Y16" s="343" t="s">
        <v>28</v>
      </c>
      <c r="Z16" s="335" t="s">
        <v>201</v>
      </c>
      <c r="AA16" s="336" t="s">
        <v>27</v>
      </c>
      <c r="AB16" s="337" t="s">
        <v>17</v>
      </c>
      <c r="AC16" s="343" t="s">
        <v>28</v>
      </c>
      <c r="AD16" s="419" t="s">
        <v>29</v>
      </c>
      <c r="AE16" s="414"/>
    </row>
    <row r="17" spans="1:31" ht="15" customHeight="1" x14ac:dyDescent="0.2">
      <c r="A17" s="237"/>
      <c r="B17" s="6" t="s">
        <v>270</v>
      </c>
      <c r="C17" s="572" t="s">
        <v>282</v>
      </c>
      <c r="D17" s="510">
        <v>20000</v>
      </c>
      <c r="E17" s="510">
        <v>60000</v>
      </c>
      <c r="F17" s="313"/>
      <c r="G17" s="323"/>
      <c r="H17" s="277"/>
      <c r="I17" s="324"/>
      <c r="J17" s="54"/>
      <c r="K17" s="319">
        <f>J17*$E17</f>
        <v>0</v>
      </c>
      <c r="L17" s="277">
        <f>J17*D17</f>
        <v>0</v>
      </c>
      <c r="M17" s="318"/>
      <c r="N17" s="313"/>
      <c r="O17" s="319">
        <f>N17*$E17</f>
        <v>0</v>
      </c>
      <c r="P17" s="277"/>
      <c r="Q17" s="318"/>
      <c r="R17" s="313"/>
      <c r="S17" s="319">
        <f>R17*$E17</f>
        <v>0</v>
      </c>
      <c r="T17" s="277"/>
      <c r="U17" s="318"/>
      <c r="V17" s="313"/>
      <c r="W17" s="319">
        <f>V17*$E17</f>
        <v>0</v>
      </c>
      <c r="X17" s="277"/>
      <c r="Y17" s="318"/>
      <c r="Z17" s="313"/>
      <c r="AA17" s="319">
        <f>Z17*$E17</f>
        <v>0</v>
      </c>
      <c r="AB17" s="277"/>
      <c r="AC17" s="318"/>
      <c r="AD17" s="418">
        <f>K17</f>
        <v>0</v>
      </c>
      <c r="AE17" s="413">
        <f>L17</f>
        <v>0</v>
      </c>
    </row>
    <row r="18" spans="1:31" ht="15" customHeight="1" x14ac:dyDescent="0.2">
      <c r="A18" s="236"/>
      <c r="B18" s="6" t="s">
        <v>44</v>
      </c>
      <c r="C18" s="572" t="s">
        <v>281</v>
      </c>
      <c r="D18" s="510">
        <v>20000</v>
      </c>
      <c r="E18" s="510">
        <v>48000</v>
      </c>
      <c r="F18" s="313"/>
      <c r="G18" s="323"/>
      <c r="H18" s="277"/>
      <c r="I18" s="324"/>
      <c r="J18" s="313"/>
      <c r="K18" s="323"/>
      <c r="L18" s="277"/>
      <c r="M18" s="324"/>
      <c r="N18" s="313">
        <v>1</v>
      </c>
      <c r="O18" s="323">
        <v>48000</v>
      </c>
      <c r="P18" s="277">
        <f>O18/2.4</f>
        <v>20000</v>
      </c>
      <c r="Q18" s="318"/>
      <c r="R18" s="313"/>
      <c r="S18" s="323"/>
      <c r="T18" s="277"/>
      <c r="U18" s="324"/>
      <c r="V18" s="313"/>
      <c r="W18" s="323"/>
      <c r="X18" s="277"/>
      <c r="Y18" s="324"/>
      <c r="Z18" s="313"/>
      <c r="AA18" s="323"/>
      <c r="AB18" s="277"/>
      <c r="AC18" s="324"/>
      <c r="AD18" s="418">
        <f>G18+K18+O18+W18+S18+AA18</f>
        <v>48000</v>
      </c>
      <c r="AE18" s="413">
        <f>H18+L18+P18+T18+X18+AB18</f>
        <v>20000</v>
      </c>
    </row>
    <row r="19" spans="1:31" ht="15" customHeight="1" x14ac:dyDescent="0.2">
      <c r="A19" s="237"/>
      <c r="B19" s="6" t="s">
        <v>45</v>
      </c>
      <c r="C19" s="572" t="s">
        <v>280</v>
      </c>
      <c r="D19" s="510">
        <v>40000</v>
      </c>
      <c r="E19" s="510">
        <v>60000</v>
      </c>
      <c r="F19" s="313"/>
      <c r="G19" s="323"/>
      <c r="H19" s="277"/>
      <c r="I19" s="324"/>
      <c r="J19" s="313"/>
      <c r="K19" s="323"/>
      <c r="L19" s="277"/>
      <c r="M19" s="324"/>
      <c r="N19" s="313"/>
      <c r="O19" s="323"/>
      <c r="P19" s="277"/>
      <c r="Q19" s="324"/>
      <c r="R19" s="224">
        <v>1</v>
      </c>
      <c r="S19" s="319">
        <f>R19*$E19</f>
        <v>60000</v>
      </c>
      <c r="T19" s="277">
        <f>R19*D19</f>
        <v>40000</v>
      </c>
      <c r="U19" s="318"/>
      <c r="V19" s="313"/>
      <c r="W19" s="323"/>
      <c r="X19" s="277"/>
      <c r="Y19" s="324"/>
      <c r="Z19" s="313"/>
      <c r="AA19" s="323"/>
      <c r="AB19" s="277"/>
      <c r="AC19" s="324"/>
      <c r="AD19" s="418">
        <f>G19+K19+O19+W19+S19+AA19</f>
        <v>60000</v>
      </c>
      <c r="AE19" s="413">
        <f>H19+L19+P19+T19+X19+AB19</f>
        <v>40000</v>
      </c>
    </row>
    <row r="20" spans="1:31" ht="15" customHeight="1" x14ac:dyDescent="0.2">
      <c r="A20" s="236"/>
      <c r="B20" s="367" t="s">
        <v>46</v>
      </c>
      <c r="C20" s="574"/>
      <c r="D20" s="512"/>
      <c r="E20" s="512"/>
      <c r="F20" s="312" t="s">
        <v>46</v>
      </c>
      <c r="G20" s="320" t="s">
        <v>29</v>
      </c>
      <c r="H20" s="321" t="s">
        <v>17</v>
      </c>
      <c r="I20" s="322" t="s">
        <v>28</v>
      </c>
      <c r="J20" s="335" t="s">
        <v>46</v>
      </c>
      <c r="K20" s="336" t="s">
        <v>29</v>
      </c>
      <c r="L20" s="337" t="s">
        <v>17</v>
      </c>
      <c r="M20" s="343" t="s">
        <v>28</v>
      </c>
      <c r="N20" s="335" t="s">
        <v>46</v>
      </c>
      <c r="O20" s="336" t="s">
        <v>29</v>
      </c>
      <c r="P20" s="337" t="s">
        <v>17</v>
      </c>
      <c r="Q20" s="343" t="s">
        <v>28</v>
      </c>
      <c r="R20" s="335" t="s">
        <v>46</v>
      </c>
      <c r="S20" s="336" t="s">
        <v>29</v>
      </c>
      <c r="T20" s="337" t="s">
        <v>17</v>
      </c>
      <c r="U20" s="343" t="s">
        <v>28</v>
      </c>
      <c r="V20" s="335" t="s">
        <v>46</v>
      </c>
      <c r="W20" s="336" t="s">
        <v>29</v>
      </c>
      <c r="X20" s="337" t="s">
        <v>17</v>
      </c>
      <c r="Y20" s="343" t="s">
        <v>28</v>
      </c>
      <c r="Z20" s="335" t="s">
        <v>46</v>
      </c>
      <c r="AA20" s="336" t="s">
        <v>29</v>
      </c>
      <c r="AB20" s="337" t="s">
        <v>17</v>
      </c>
      <c r="AC20" s="343" t="s">
        <v>28</v>
      </c>
      <c r="AD20" s="419" t="s">
        <v>29</v>
      </c>
      <c r="AE20" s="414"/>
    </row>
    <row r="21" spans="1:31" ht="15" customHeight="1" x14ac:dyDescent="0.2">
      <c r="A21" s="237"/>
      <c r="B21" s="6" t="s">
        <v>47</v>
      </c>
      <c r="C21" s="572" t="s">
        <v>295</v>
      </c>
      <c r="D21" s="510">
        <v>5000</v>
      </c>
      <c r="E21" s="510">
        <v>1</v>
      </c>
      <c r="F21" s="54"/>
      <c r="G21" s="319">
        <f>F21*$D21</f>
        <v>0</v>
      </c>
      <c r="H21" s="325">
        <f>G21</f>
        <v>0</v>
      </c>
      <c r="I21" s="324"/>
      <c r="J21" s="224">
        <v>0</v>
      </c>
      <c r="K21" s="319">
        <f>J21*$D21</f>
        <v>0</v>
      </c>
      <c r="L21" s="325">
        <f>K21</f>
        <v>0</v>
      </c>
      <c r="M21" s="324"/>
      <c r="N21" s="224">
        <v>1</v>
      </c>
      <c r="O21" s="319">
        <f>N21*$D21</f>
        <v>5000</v>
      </c>
      <c r="P21" s="325">
        <f>O21</f>
        <v>5000</v>
      </c>
      <c r="Q21" s="324"/>
      <c r="R21" s="224">
        <v>4</v>
      </c>
      <c r="S21" s="319">
        <f>R21*$D21</f>
        <v>20000</v>
      </c>
      <c r="T21" s="325">
        <f>S21</f>
        <v>20000</v>
      </c>
      <c r="U21" s="324"/>
      <c r="V21" s="224"/>
      <c r="W21" s="319">
        <f>V21*$D21</f>
        <v>0</v>
      </c>
      <c r="X21" s="325">
        <f>W21</f>
        <v>0</v>
      </c>
      <c r="Y21" s="324"/>
      <c r="Z21" s="224"/>
      <c r="AA21" s="319">
        <f>Z21*$D21</f>
        <v>0</v>
      </c>
      <c r="AB21" s="325">
        <f>AA21</f>
        <v>0</v>
      </c>
      <c r="AC21" s="324"/>
      <c r="AD21" s="418">
        <f>G21+K21+O21+W21+S21+AA21</f>
        <v>25000</v>
      </c>
      <c r="AE21" s="413">
        <f>G21+L21+P21+T21+X21+AB21</f>
        <v>25000</v>
      </c>
    </row>
    <row r="22" spans="1:31" ht="15" customHeight="1" x14ac:dyDescent="0.2">
      <c r="A22" s="236"/>
      <c r="B22" s="6" t="s">
        <v>48</v>
      </c>
      <c r="C22" s="572" t="s">
        <v>296</v>
      </c>
      <c r="D22" s="510">
        <v>5000</v>
      </c>
      <c r="E22" s="510">
        <v>1</v>
      </c>
      <c r="F22" s="54">
        <v>0</v>
      </c>
      <c r="G22" s="319">
        <f>F22*$D22</f>
        <v>0</v>
      </c>
      <c r="H22" s="325">
        <f>G22</f>
        <v>0</v>
      </c>
      <c r="I22" s="324"/>
      <c r="J22" s="54">
        <v>0</v>
      </c>
      <c r="K22" s="319">
        <f>J22*$D22</f>
        <v>0</v>
      </c>
      <c r="L22" s="325">
        <f>K22</f>
        <v>0</v>
      </c>
      <c r="M22" s="324"/>
      <c r="N22" s="224"/>
      <c r="O22" s="319">
        <f>N22*$D22</f>
        <v>0</v>
      </c>
      <c r="P22" s="325">
        <f>O22</f>
        <v>0</v>
      </c>
      <c r="Q22" s="324"/>
      <c r="R22" s="224">
        <v>2</v>
      </c>
      <c r="S22" s="319">
        <f>R22*$D22</f>
        <v>10000</v>
      </c>
      <c r="T22" s="325">
        <f>S22</f>
        <v>10000</v>
      </c>
      <c r="U22" s="324"/>
      <c r="V22" s="224"/>
      <c r="W22" s="319">
        <f>V22*$D22</f>
        <v>0</v>
      </c>
      <c r="X22" s="325">
        <f>W22</f>
        <v>0</v>
      </c>
      <c r="Y22" s="324"/>
      <c r="Z22" s="224">
        <v>0</v>
      </c>
      <c r="AA22" s="319">
        <f>Z22*$D22</f>
        <v>0</v>
      </c>
      <c r="AB22" s="325">
        <f>AA22</f>
        <v>0</v>
      </c>
      <c r="AC22" s="324"/>
      <c r="AD22" s="418">
        <f>G22+K22+O22+W22+S22+AA22</f>
        <v>10000</v>
      </c>
      <c r="AE22" s="413">
        <f>G22+L22+P22+T22+X22+AB22</f>
        <v>10000</v>
      </c>
    </row>
    <row r="23" spans="1:31" ht="15" customHeight="1" x14ac:dyDescent="0.2">
      <c r="A23" s="238"/>
      <c r="B23" s="6" t="s">
        <v>49</v>
      </c>
      <c r="C23" s="572" t="s">
        <v>296</v>
      </c>
      <c r="D23" s="510">
        <v>5000</v>
      </c>
      <c r="E23" s="510">
        <v>1</v>
      </c>
      <c r="F23" s="224">
        <v>0</v>
      </c>
      <c r="G23" s="319">
        <f>F23*$D23</f>
        <v>0</v>
      </c>
      <c r="H23" s="325">
        <f>G23</f>
        <v>0</v>
      </c>
      <c r="I23" s="324"/>
      <c r="J23" s="54">
        <v>0</v>
      </c>
      <c r="K23" s="319">
        <f>J23*$D23</f>
        <v>0</v>
      </c>
      <c r="L23" s="325">
        <f>K23</f>
        <v>0</v>
      </c>
      <c r="M23" s="324"/>
      <c r="N23" s="224">
        <v>0</v>
      </c>
      <c r="O23" s="319">
        <f>N23*$D23</f>
        <v>0</v>
      </c>
      <c r="P23" s="325">
        <f>O23</f>
        <v>0</v>
      </c>
      <c r="Q23" s="324"/>
      <c r="R23" s="224">
        <v>2</v>
      </c>
      <c r="S23" s="319">
        <f>R23*$D23</f>
        <v>10000</v>
      </c>
      <c r="T23" s="325">
        <f>S23</f>
        <v>10000</v>
      </c>
      <c r="U23" s="324"/>
      <c r="V23" s="224"/>
      <c r="W23" s="319">
        <f>V23*$D23</f>
        <v>0</v>
      </c>
      <c r="X23" s="325">
        <f>W23</f>
        <v>0</v>
      </c>
      <c r="Y23" s="324"/>
      <c r="Z23" s="224">
        <v>0</v>
      </c>
      <c r="AA23" s="319">
        <f>Z23*$D23</f>
        <v>0</v>
      </c>
      <c r="AB23" s="325">
        <f>AA23</f>
        <v>0</v>
      </c>
      <c r="AC23" s="324"/>
      <c r="AD23" s="418">
        <f>G23+K23+O23+W23+S23+AA23</f>
        <v>10000</v>
      </c>
      <c r="AE23" s="413">
        <f>G23+L23+P23+T23+X23+AB23</f>
        <v>10000</v>
      </c>
    </row>
    <row r="24" spans="1:31" ht="15" customHeight="1" x14ac:dyDescent="0.2">
      <c r="A24" s="236"/>
      <c r="B24" s="367" t="s">
        <v>50</v>
      </c>
      <c r="C24" s="574"/>
      <c r="D24" s="513"/>
      <c r="E24" s="513"/>
      <c r="F24" s="312"/>
      <c r="G24" s="320"/>
      <c r="H24" s="321" t="s">
        <v>17</v>
      </c>
      <c r="I24" s="322" t="s">
        <v>51</v>
      </c>
      <c r="J24" s="312"/>
      <c r="K24" s="336"/>
      <c r="L24" s="337" t="s">
        <v>17</v>
      </c>
      <c r="M24" s="343" t="s">
        <v>51</v>
      </c>
      <c r="N24" s="335"/>
      <c r="O24" s="336"/>
      <c r="P24" s="337" t="s">
        <v>17</v>
      </c>
      <c r="Q24" s="343" t="s">
        <v>51</v>
      </c>
      <c r="R24" s="335"/>
      <c r="S24" s="336"/>
      <c r="T24" s="337" t="s">
        <v>17</v>
      </c>
      <c r="U24" s="343" t="s">
        <v>51</v>
      </c>
      <c r="V24" s="335"/>
      <c r="W24" s="336"/>
      <c r="X24" s="337" t="s">
        <v>17</v>
      </c>
      <c r="Y24" s="343" t="s">
        <v>51</v>
      </c>
      <c r="Z24" s="335"/>
      <c r="AA24" s="336"/>
      <c r="AB24" s="337" t="s">
        <v>17</v>
      </c>
      <c r="AC24" s="343" t="s">
        <v>51</v>
      </c>
      <c r="AD24" s="419" t="s">
        <v>52</v>
      </c>
      <c r="AE24" s="415"/>
    </row>
    <row r="25" spans="1:31" ht="15" customHeight="1" x14ac:dyDescent="0.2">
      <c r="A25" s="236"/>
      <c r="B25" s="6" t="s">
        <v>276</v>
      </c>
      <c r="C25" s="572" t="s">
        <v>297</v>
      </c>
      <c r="D25" s="513"/>
      <c r="E25" s="513"/>
      <c r="F25" s="312"/>
      <c r="G25" s="320"/>
      <c r="H25" s="326">
        <f>SUM(H4:H6)</f>
        <v>0</v>
      </c>
      <c r="I25" s="327">
        <f>SUM(I4:I6)</f>
        <v>0</v>
      </c>
      <c r="J25" s="312"/>
      <c r="K25" s="336"/>
      <c r="L25" s="326">
        <f>SUM(L4:L6)</f>
        <v>0</v>
      </c>
      <c r="M25" s="327">
        <f>SUM(M4:M6)</f>
        <v>0</v>
      </c>
      <c r="N25" s="335"/>
      <c r="O25" s="336"/>
      <c r="P25" s="326">
        <f>SUM(P4:P6)</f>
        <v>0</v>
      </c>
      <c r="Q25" s="327">
        <f>SUM(Q4:Q6)</f>
        <v>0</v>
      </c>
      <c r="R25" s="335"/>
      <c r="S25" s="336"/>
      <c r="T25" s="326">
        <f>SUM(T4:T6)</f>
        <v>0</v>
      </c>
      <c r="U25" s="327">
        <f>SUM(U4:U6)</f>
        <v>0</v>
      </c>
      <c r="V25" s="335"/>
      <c r="W25" s="336"/>
      <c r="X25" s="326">
        <f>SUM(X4:X6)</f>
        <v>0</v>
      </c>
      <c r="Y25" s="327">
        <f>SUM(Y4:Y6)</f>
        <v>0</v>
      </c>
      <c r="Z25" s="335"/>
      <c r="AA25" s="336"/>
      <c r="AB25" s="326">
        <f>SUM(AB4:AB6)</f>
        <v>0</v>
      </c>
      <c r="AC25" s="327">
        <f>SUM(AC4:AC6)</f>
        <v>0</v>
      </c>
      <c r="AD25" s="419"/>
      <c r="AE25" s="415"/>
    </row>
    <row r="26" spans="1:31" ht="15" customHeight="1" x14ac:dyDescent="0.2">
      <c r="A26" s="237"/>
      <c r="B26" s="6" t="s">
        <v>275</v>
      </c>
      <c r="C26" s="572" t="s">
        <v>277</v>
      </c>
      <c r="D26" s="514"/>
      <c r="E26" s="514"/>
      <c r="F26" s="314"/>
      <c r="G26" s="277"/>
      <c r="H26" s="277">
        <f>H13</f>
        <v>0</v>
      </c>
      <c r="I26" s="318">
        <f>I13</f>
        <v>0</v>
      </c>
      <c r="J26" s="314"/>
      <c r="K26" s="277"/>
      <c r="L26" s="277">
        <f>L13</f>
        <v>0</v>
      </c>
      <c r="M26" s="318">
        <f>M13</f>
        <v>0</v>
      </c>
      <c r="N26" s="314"/>
      <c r="O26" s="277"/>
      <c r="P26" s="277">
        <f>P13</f>
        <v>0</v>
      </c>
      <c r="Q26" s="318">
        <f>Q13</f>
        <v>0</v>
      </c>
      <c r="R26" s="314"/>
      <c r="S26" s="277"/>
      <c r="T26" s="277">
        <f>T13</f>
        <v>0</v>
      </c>
      <c r="U26" s="318">
        <f>U13</f>
        <v>0</v>
      </c>
      <c r="V26" s="314"/>
      <c r="W26" s="277"/>
      <c r="X26" s="277">
        <f>X13</f>
        <v>0</v>
      </c>
      <c r="Y26" s="318">
        <f>Y13</f>
        <v>0</v>
      </c>
      <c r="Z26" s="314"/>
      <c r="AA26" s="277"/>
      <c r="AB26" s="277">
        <f>AB13</f>
        <v>0</v>
      </c>
      <c r="AC26" s="318">
        <f>AC13</f>
        <v>0</v>
      </c>
      <c r="AD26" s="418">
        <f>I26+M26+Q26+U26+Y26+AC26</f>
        <v>0</v>
      </c>
      <c r="AE26" s="413">
        <f>H26+L26+P26+T26+X26+AB26</f>
        <v>0</v>
      </c>
    </row>
    <row r="27" spans="1:31" ht="15" customHeight="1" x14ac:dyDescent="0.2">
      <c r="A27" s="237"/>
      <c r="B27" s="6" t="s">
        <v>271</v>
      </c>
      <c r="C27" s="572" t="s">
        <v>278</v>
      </c>
      <c r="D27" s="514"/>
      <c r="E27" s="514"/>
      <c r="F27" s="314"/>
      <c r="G27" s="277"/>
      <c r="H27" s="277">
        <f>H9+H10</f>
        <v>0</v>
      </c>
      <c r="I27" s="318">
        <f>I9+I10</f>
        <v>0</v>
      </c>
      <c r="J27" s="314"/>
      <c r="K27" s="277"/>
      <c r="L27" s="277">
        <f>L9+L10</f>
        <v>0</v>
      </c>
      <c r="M27" s="318">
        <f>M9+M10</f>
        <v>0</v>
      </c>
      <c r="N27" s="314"/>
      <c r="O27" s="277"/>
      <c r="P27" s="277">
        <f>P9+P10</f>
        <v>0</v>
      </c>
      <c r="Q27" s="318">
        <f>Q9+Q10</f>
        <v>0</v>
      </c>
      <c r="R27" s="314"/>
      <c r="S27" s="277"/>
      <c r="T27" s="277">
        <f>T9+T10</f>
        <v>0</v>
      </c>
      <c r="U27" s="318">
        <f>U9+U10</f>
        <v>0</v>
      </c>
      <c r="V27" s="314"/>
      <c r="W27" s="277"/>
      <c r="X27" s="277">
        <f>X9+X10</f>
        <v>0</v>
      </c>
      <c r="Y27" s="318">
        <f>Y9+Y10</f>
        <v>0</v>
      </c>
      <c r="Z27" s="314"/>
      <c r="AA27" s="277"/>
      <c r="AB27" s="277">
        <f>AB9+AB10</f>
        <v>0</v>
      </c>
      <c r="AC27" s="318">
        <f>AC9+AC10</f>
        <v>0</v>
      </c>
      <c r="AD27" s="418">
        <f>I27+M27+Q27+U27+Y27+AC27</f>
        <v>0</v>
      </c>
      <c r="AE27" s="413">
        <f>H27+L27+P27+T27+X27+AB27</f>
        <v>0</v>
      </c>
    </row>
    <row r="28" spans="1:31" ht="15" customHeight="1" x14ac:dyDescent="0.2">
      <c r="A28" s="237"/>
      <c r="B28" s="6" t="s">
        <v>272</v>
      </c>
      <c r="C28" s="572" t="s">
        <v>278</v>
      </c>
      <c r="D28" s="514"/>
      <c r="E28" s="514"/>
      <c r="F28" s="314"/>
      <c r="G28" s="277"/>
      <c r="H28" s="277">
        <f>H11</f>
        <v>0</v>
      </c>
      <c r="I28" s="318">
        <f>I11</f>
        <v>0</v>
      </c>
      <c r="J28" s="314"/>
      <c r="K28" s="277"/>
      <c r="L28" s="277">
        <f>L11</f>
        <v>0</v>
      </c>
      <c r="M28" s="318">
        <f>M11</f>
        <v>0</v>
      </c>
      <c r="N28" s="314"/>
      <c r="O28" s="277"/>
      <c r="P28" s="277">
        <f>P11</f>
        <v>0</v>
      </c>
      <c r="Q28" s="318">
        <f>Q11</f>
        <v>0</v>
      </c>
      <c r="R28" s="314"/>
      <c r="S28" s="277"/>
      <c r="T28" s="277">
        <f>T11</f>
        <v>0</v>
      </c>
      <c r="U28" s="318">
        <f>U11</f>
        <v>0</v>
      </c>
      <c r="V28" s="314"/>
      <c r="W28" s="277"/>
      <c r="X28" s="277">
        <f>X11</f>
        <v>0</v>
      </c>
      <c r="Y28" s="318">
        <f>Y11</f>
        <v>0</v>
      </c>
      <c r="Z28" s="314"/>
      <c r="AA28" s="277"/>
      <c r="AB28" s="277">
        <f>AB11</f>
        <v>0</v>
      </c>
      <c r="AC28" s="318">
        <f>AC11</f>
        <v>0</v>
      </c>
      <c r="AD28" s="418">
        <f>I28+M28+Q28+U28+Y28+AC28</f>
        <v>0</v>
      </c>
      <c r="AE28" s="413">
        <f>H28+L28+P28+T28+X28+AB28</f>
        <v>0</v>
      </c>
    </row>
    <row r="29" spans="1:31" ht="15" customHeight="1" x14ac:dyDescent="0.2">
      <c r="A29" s="237"/>
      <c r="B29" s="6" t="s">
        <v>273</v>
      </c>
      <c r="C29" s="572" t="s">
        <v>283</v>
      </c>
      <c r="D29" s="514"/>
      <c r="E29" s="514"/>
      <c r="F29" s="314"/>
      <c r="G29" s="277"/>
      <c r="H29" s="277">
        <f>IF(F14=1,15000,0)</f>
        <v>0</v>
      </c>
      <c r="I29" s="318">
        <f>I14</f>
        <v>0</v>
      </c>
      <c r="J29" s="314"/>
      <c r="K29" s="277"/>
      <c r="L29" s="277">
        <f>IF(J14=1,15000,0)</f>
        <v>0</v>
      </c>
      <c r="M29" s="318">
        <f>M14</f>
        <v>0</v>
      </c>
      <c r="N29" s="314"/>
      <c r="O29" s="277"/>
      <c r="P29" s="277">
        <f>IF(N14=1,15000,0)</f>
        <v>15000</v>
      </c>
      <c r="Q29" s="318">
        <f>Q14</f>
        <v>160</v>
      </c>
      <c r="R29" s="314"/>
      <c r="S29" s="277"/>
      <c r="T29" s="277">
        <f>IF(R14=1,15000,0)</f>
        <v>0</v>
      </c>
      <c r="U29" s="318">
        <f>U14</f>
        <v>0</v>
      </c>
      <c r="V29" s="314"/>
      <c r="W29" s="277"/>
      <c r="X29" s="277">
        <f>IF(V14=1,15000,0)</f>
        <v>0</v>
      </c>
      <c r="Y29" s="318">
        <f>Y14</f>
        <v>0</v>
      </c>
      <c r="Z29" s="314"/>
      <c r="AA29" s="277"/>
      <c r="AB29" s="277">
        <f>IF(Z14=1,15000,0)</f>
        <v>0</v>
      </c>
      <c r="AC29" s="318">
        <f>AC14</f>
        <v>0</v>
      </c>
      <c r="AD29" s="418">
        <f>I29+M29+Q29+U29+Y29+AC29</f>
        <v>160</v>
      </c>
      <c r="AE29" s="413">
        <f>H29+L29+P29+T29+X29+AB29</f>
        <v>15000</v>
      </c>
    </row>
    <row r="30" spans="1:31" ht="15" customHeight="1" thickBot="1" x14ac:dyDescent="0.25">
      <c r="A30" s="237"/>
      <c r="B30" s="6" t="s">
        <v>274</v>
      </c>
      <c r="C30" s="572" t="s">
        <v>279</v>
      </c>
      <c r="D30" s="515"/>
      <c r="E30" s="515"/>
      <c r="F30" s="315"/>
      <c r="G30" s="328"/>
      <c r="H30" s="328">
        <f>G15/4</f>
        <v>0</v>
      </c>
      <c r="I30" s="329">
        <f>I15</f>
        <v>0</v>
      </c>
      <c r="J30" s="315"/>
      <c r="K30" s="328"/>
      <c r="L30" s="328">
        <f>K15/4</f>
        <v>0</v>
      </c>
      <c r="M30" s="329">
        <f>M15</f>
        <v>0</v>
      </c>
      <c r="N30" s="315"/>
      <c r="O30" s="328"/>
      <c r="P30" s="328"/>
      <c r="Q30" s="329"/>
      <c r="R30" s="315"/>
      <c r="S30" s="328"/>
      <c r="T30" s="328"/>
      <c r="U30" s="329"/>
      <c r="V30" s="315"/>
      <c r="W30" s="328"/>
      <c r="X30" s="328"/>
      <c r="Y30" s="329"/>
      <c r="Z30" s="315"/>
      <c r="AA30" s="328"/>
      <c r="AB30" s="328"/>
      <c r="AC30" s="329"/>
      <c r="AD30" s="418">
        <f>I30+M30+Q30+U30+Y30+AC30</f>
        <v>0</v>
      </c>
      <c r="AE30" s="416">
        <f>H30+L30+P30+T30+X30+AB30</f>
        <v>0</v>
      </c>
    </row>
    <row r="31" spans="1:31" ht="15" customHeight="1" thickBot="1" x14ac:dyDescent="0.25">
      <c r="A31" s="237"/>
      <c r="B31" s="367" t="s">
        <v>55</v>
      </c>
      <c r="C31" s="575"/>
      <c r="D31" s="131"/>
      <c r="E31" s="131"/>
      <c r="F31" s="316"/>
      <c r="G31" s="330"/>
      <c r="H31" s="331">
        <f>SUM(H4:H30)-H25</f>
        <v>0</v>
      </c>
      <c r="I31" s="332"/>
      <c r="J31" s="316"/>
      <c r="K31" s="330"/>
      <c r="L31" s="331">
        <f>SUM(L4:L30)-L25</f>
        <v>0</v>
      </c>
      <c r="M31" s="332"/>
      <c r="N31" s="316"/>
      <c r="O31" s="330"/>
      <c r="P31" s="331">
        <f>SUM(P4:P30)-P25</f>
        <v>80000</v>
      </c>
      <c r="Q31" s="332"/>
      <c r="R31" s="316"/>
      <c r="S31" s="330"/>
      <c r="T31" s="331">
        <f>SUM(T4:T30)-T25</f>
        <v>80000</v>
      </c>
      <c r="U31" s="332"/>
      <c r="V31" s="316"/>
      <c r="W31" s="330"/>
      <c r="X31" s="331">
        <f>SUM(X4:X30)-X25</f>
        <v>0</v>
      </c>
      <c r="Y31" s="332"/>
      <c r="Z31" s="316"/>
      <c r="AA31" s="330"/>
      <c r="AB31" s="331">
        <f>SUM(AB4:AB30)-AB25</f>
        <v>0</v>
      </c>
      <c r="AC31" s="332"/>
      <c r="AD31" s="420"/>
      <c r="AE31" s="517">
        <f>SUM(AE4:AE30)</f>
        <v>160000</v>
      </c>
    </row>
    <row r="32" spans="1:31" s="53" customFormat="1" ht="14.25" x14ac:dyDescent="0.2">
      <c r="A32" s="237"/>
      <c r="B32" s="133"/>
      <c r="C32" s="134"/>
      <c r="D32" s="135"/>
      <c r="E32" s="135"/>
      <c r="F32" s="135"/>
      <c r="G32" s="135"/>
      <c r="H32" s="606" t="str">
        <f>IF(H33&gt;0,"Exceeds Maximum Footprint","")</f>
        <v/>
      </c>
      <c r="J32" s="136"/>
      <c r="K32" s="136"/>
      <c r="L32" s="607" t="str">
        <f>IF(L33&gt;0,"Exceeds Maximum Footprint","")</f>
        <v/>
      </c>
      <c r="N32" s="136"/>
      <c r="O32" s="136"/>
      <c r="P32" s="334" t="str">
        <f>IF(P33&gt;0,"Exceeds Maximum Footprint","")</f>
        <v/>
      </c>
      <c r="R32" s="136"/>
      <c r="S32" s="136"/>
      <c r="T32" s="607" t="str">
        <f>IF(T33&gt;0,"Exceeds Maximum Footprint","")</f>
        <v/>
      </c>
      <c r="V32" s="225"/>
      <c r="W32" s="225"/>
      <c r="X32" s="608" t="str">
        <f>IF(X33&gt;0,"Exceeds Maximum Footprint","")</f>
        <v/>
      </c>
      <c r="Z32" s="225"/>
      <c r="AA32" s="225"/>
      <c r="AB32" s="608" t="str">
        <f>IF(AB33&gt;0,"Exceeds Maximum Footprint","")</f>
        <v/>
      </c>
      <c r="AE32" s="423"/>
    </row>
    <row r="33" spans="1:31" ht="14.25" x14ac:dyDescent="0.2">
      <c r="A33" s="237"/>
      <c r="B33" s="8"/>
      <c r="C33" s="9"/>
      <c r="H33" s="333">
        <f>IF(H31&gt;120000,H31-120000,0)</f>
        <v>0</v>
      </c>
      <c r="J33" s="91"/>
      <c r="K33" s="91"/>
      <c r="L33" s="338">
        <f>IF(L31&gt;120000,L31-120000,0)</f>
        <v>0</v>
      </c>
      <c r="N33" s="91"/>
      <c r="O33" s="91"/>
      <c r="P33" s="338">
        <f>IF(P31&gt;80000,P31-80000,0)</f>
        <v>0</v>
      </c>
      <c r="R33" s="91"/>
      <c r="S33" s="91"/>
      <c r="T33" s="338">
        <f>IF(T31&gt;80000,T31-80000,0)</f>
        <v>0</v>
      </c>
      <c r="V33" s="226"/>
      <c r="W33" s="226"/>
      <c r="X33" s="344">
        <f>IF(X31&gt;60000,X31-60000,0)</f>
        <v>0</v>
      </c>
      <c r="Z33" s="226"/>
      <c r="AA33" s="226"/>
      <c r="AB33" s="344">
        <f>IF(AB31&gt;40000,AB31-40000,0)</f>
        <v>0</v>
      </c>
      <c r="AE33" s="422"/>
    </row>
    <row r="34" spans="1:31" ht="15" customHeight="1" x14ac:dyDescent="0.2">
      <c r="A34" s="237"/>
      <c r="H34" s="28"/>
      <c r="R34" s="91"/>
      <c r="S34" s="91"/>
      <c r="V34" s="91"/>
      <c r="W34" s="91"/>
      <c r="Z34" s="91"/>
      <c r="AA34" s="91"/>
    </row>
    <row r="35" spans="1:31" ht="15" customHeight="1" x14ac:dyDescent="0.2">
      <c r="A35" s="239"/>
      <c r="C35" s="29"/>
    </row>
    <row r="36" spans="1:31" ht="15" customHeight="1" x14ac:dyDescent="0.2">
      <c r="A36" s="239"/>
      <c r="B36" s="91"/>
      <c r="C36" s="91"/>
    </row>
    <row r="37" spans="1:31" ht="15" customHeight="1" x14ac:dyDescent="0.2">
      <c r="A37" s="239"/>
      <c r="B37" s="91"/>
      <c r="C37" s="91"/>
      <c r="D37" s="91"/>
    </row>
    <row r="38" spans="1:31" ht="15" customHeight="1" x14ac:dyDescent="0.2">
      <c r="A38" s="239"/>
    </row>
    <row r="39" spans="1:31" ht="15" customHeight="1" x14ac:dyDescent="0.2">
      <c r="A39" s="239"/>
    </row>
    <row r="40" spans="1:31" ht="15" hidden="1" customHeight="1" x14ac:dyDescent="0.2">
      <c r="A40" s="32"/>
    </row>
    <row r="41" spans="1:31" ht="15" hidden="1" customHeight="1" x14ac:dyDescent="0.2">
      <c r="A41" s="32"/>
    </row>
    <row r="42" spans="1:31" ht="15" hidden="1" customHeight="1" x14ac:dyDescent="0.2">
      <c r="A42" s="32"/>
    </row>
    <row r="43" spans="1:31" ht="15" hidden="1" customHeight="1" x14ac:dyDescent="0.2">
      <c r="A43" s="32"/>
    </row>
    <row r="44" spans="1:31" ht="15" hidden="1" customHeight="1" x14ac:dyDescent="0.2">
      <c r="A44" s="32"/>
    </row>
  </sheetData>
  <mergeCells count="6">
    <mergeCell ref="Z2:AC2"/>
    <mergeCell ref="F2:I2"/>
    <mergeCell ref="J2:M2"/>
    <mergeCell ref="N2:Q2"/>
    <mergeCell ref="R2:U2"/>
    <mergeCell ref="V2:Y2"/>
  </mergeCells>
  <dataValidations count="16">
    <dataValidation allowBlank="1" showInputMessage="1" showErrorMessage="1" errorTitle="Exceeded Max Footprint of Block" error="Exceeded Max Footprint of Block. Reduce Build Out to Continue" sqref="H31 X31 L31 P31 T31 AB31"/>
    <dataValidation type="list" allowBlank="1" showInputMessage="1" showErrorMessage="1" error="Please press CANCEL and select entry from dropdown box." sqref="F21 J21">
      <formula1>"0,1,2,3,4,5,6,7,8,9,10,11,12,13,14,15,16,17,18,19,20,21,22,23,24"</formula1>
    </dataValidation>
    <dataValidation type="list" allowBlank="1" showInputMessage="1" showErrorMessage="1" error="Please press CANCEL and select entry from dropdown box." sqref="N21 J4:J5 F4:F5 Z21 V21">
      <formula1>"0,1,2,3,4,5,6,7,8,9,10,11,12"</formula1>
    </dataValidation>
    <dataValidation type="list" allowBlank="1" showInputMessage="1" showErrorMessage="1" error="Please press CANCEL and select entry from dropdown box." sqref="F6 J6 Z4:Z5 N4:N5 V4:V5">
      <formula1>"0,1,2,3,4,5,6"</formula1>
    </dataValidation>
    <dataValidation type="list" allowBlank="1" showInputMessage="1" showErrorMessage="1" error="Please press CANCEL and select entry from dropdown box." sqref="F7 F14:F15 J7 Z14 J14:J15 N10 N14 N7 R19 R7 R14 V7 V10 V14 Z7 Z10 J17">
      <formula1>"0,1"</formula1>
    </dataValidation>
    <dataValidation type="list" allowBlank="1" showInputMessage="1" showErrorMessage="1" error="Please press CANCEL and select entry from dropdown box." sqref="F11 F9 J11 J9 R6 V11 Z11">
      <formula1>"0,1,2,3,4"</formula1>
    </dataValidation>
    <dataValidation type="list" allowBlank="1" showInputMessage="1" showErrorMessage="1" error="Please press CANCEL and select entry from dropdown box." sqref="F10 J10 N6 R9 V6 Z6">
      <formula1>"0,1,2,3"</formula1>
    </dataValidation>
    <dataValidation type="list" allowBlank="1" showInputMessage="1" showErrorMessage="1" error="Please press CANCEL and select entry from dropdown box." sqref="N9 N11 R10:R11 V9 Z9">
      <formula1>"0,1,2"</formula1>
    </dataValidation>
    <dataValidation type="list" allowBlank="1" showInputMessage="1" showErrorMessage="1" error="Please press CANCEL and select entry from dropdown box." sqref="Z13 N13 V13">
      <formula1>"0,2,3,4,5"</formula1>
    </dataValidation>
    <dataValidation type="list" allowBlank="1" showInputMessage="1" showErrorMessage="1" error="Please press CANCEL and select entry from dropdown box." sqref="R4:R5">
      <formula1>"0,1,2,3,4,5,6,7,8"</formula1>
    </dataValidation>
    <dataValidation type="list" allowBlank="1" showInputMessage="1" showErrorMessage="1" error="Please press CANCEL and select entry from dropdown box." sqref="R13">
      <formula1>"0,2,3,4,5,6,7"</formula1>
    </dataValidation>
    <dataValidation type="list" allowBlank="1" showInputMessage="1" showErrorMessage="1" error="Please press CANCEL and select entry from dropdown box." sqref="R21">
      <formula1>"0,1,2,3,4,5,6,7,8,9,10,11,12,13,14,15,16"</formula1>
    </dataValidation>
    <dataValidation type="list" allowBlank="1" showInputMessage="1" showErrorMessage="1" error="Please press CANCEL and select entry from dropdown box." sqref="F13 J13">
      <formula1>"0,2,3,4,5,6,7,8,9,10,11"</formula1>
    </dataValidation>
    <dataValidation type="list" allowBlank="1" showInputMessage="1" showErrorMessage="1" error="Please press CANCEL and select entry from dropdown box." sqref="N22:N23 V22:V23 R22:R23">
      <formula1>"0,2,4,6,8,10,12"</formula1>
    </dataValidation>
    <dataValidation type="list" allowBlank="1" showInputMessage="1" showErrorMessage="1" error="Please press CANCEL and select entry from dropdown box." sqref="Z22:Z23">
      <formula1>"0,2,4,6,8"</formula1>
    </dataValidation>
    <dataValidation type="list" allowBlank="1" showInputMessage="1" showErrorMessage="1" error="Please press CANCEL and select entry from dropdown box." sqref="F22:F23 J22:J23">
      <formula1>"0,2,4,6,8,10,12,14,16,18,20,22,24"</formula1>
    </dataValidation>
  </dataValidations>
  <hyperlinks>
    <hyperlink ref="A4" location="'Color Code'!A1" display="Color Code"/>
    <hyperlink ref="A6" location="'Development by Block'!A1" display="Development by Block"/>
    <hyperlink ref="A9" location="'Development by Block'!J2" display="Block 2"/>
    <hyperlink ref="A10" location="'Development by Block'!N2" display="Block 3"/>
    <hyperlink ref="A11" location="'Development by Block'!R2" display="Block 4"/>
    <hyperlink ref="A12" location="'Development by Block'!V2" display="Block 5"/>
    <hyperlink ref="A13" location="'Development by Block'!Z2" display="Block 6"/>
    <hyperlink ref="A14" location="'Development by Block'!AK2" display="Total Project"/>
    <hyperlink ref="A15" location="'Development by Block'!AL2" display="Land Area"/>
    <hyperlink ref="A8" location="'Development by Block'!F2" display="Block 1"/>
    <hyperlink ref="A7" location="'Development by Block'!C2" display="'Development by Block'!C2"/>
  </hyperlinks>
  <printOptions horizontalCentered="1"/>
  <pageMargins left="0.25" right="0.25" top="0.5" bottom="0.5" header="0.3" footer="0.3"/>
  <pageSetup scale="81" fitToWidth="5" orientation="landscape" r:id="rId1"/>
  <colBreaks count="3" manualBreakCount="3">
    <brk id="5" max="1048575" man="1"/>
    <brk id="13" max="1048575" man="1"/>
    <brk id="2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T56"/>
  <sheetViews>
    <sheetView showGridLines="0" topLeftCell="A6" zoomScaleNormal="100" zoomScaleSheetLayoutView="85" workbookViewId="0">
      <selection activeCell="A10" sqref="A10"/>
    </sheetView>
  </sheetViews>
  <sheetFormatPr defaultColWidth="0" defaultRowHeight="12.75" zeroHeight="1" x14ac:dyDescent="0.2"/>
  <cols>
    <col min="1" max="1" width="21.7109375" style="132" customWidth="1"/>
    <col min="2" max="2" width="63.5703125" style="92" customWidth="1"/>
    <col min="3" max="4" width="16.7109375" style="92" customWidth="1"/>
    <col min="5" max="8" width="16.7109375" style="95" customWidth="1"/>
    <col min="9" max="9" width="5.7109375" style="95" customWidth="1"/>
    <col min="10" max="10" width="9.140625" style="95" hidden="1" customWidth="1"/>
    <col min="11" max="16384" width="9.140625" style="92" hidden="1"/>
  </cols>
  <sheetData>
    <row r="1" spans="1:20" ht="14.25" customHeight="1" x14ac:dyDescent="0.2">
      <c r="A1" s="600" t="s">
        <v>262</v>
      </c>
      <c r="B1" s="596"/>
      <c r="J1" s="272"/>
      <c r="K1" s="35"/>
      <c r="L1" s="35"/>
      <c r="M1" s="35"/>
      <c r="N1" s="35"/>
      <c r="O1" s="35"/>
      <c r="P1" s="35"/>
      <c r="Q1" s="35"/>
      <c r="R1" s="35"/>
      <c r="S1" s="35"/>
      <c r="T1" s="35"/>
    </row>
    <row r="2" spans="1:20" s="7" customFormat="1" ht="15" customHeight="1" x14ac:dyDescent="0.2">
      <c r="A2" s="368"/>
      <c r="B2" s="369"/>
      <c r="C2" s="370"/>
      <c r="D2" s="371"/>
      <c r="E2" s="234"/>
      <c r="F2" s="234"/>
      <c r="G2" s="234"/>
      <c r="H2" s="235"/>
      <c r="I2" s="91"/>
      <c r="J2" s="272"/>
    </row>
    <row r="3" spans="1:20" ht="15" customHeight="1" x14ac:dyDescent="0.2">
      <c r="A3" s="345"/>
      <c r="B3" s="10"/>
      <c r="I3" s="91"/>
      <c r="J3" s="272"/>
      <c r="K3" s="35"/>
      <c r="L3" s="35"/>
      <c r="M3" s="35"/>
      <c r="N3" s="35"/>
      <c r="O3" s="35"/>
      <c r="P3" s="35"/>
      <c r="Q3" s="35"/>
      <c r="R3" s="35"/>
      <c r="S3" s="35"/>
      <c r="T3" s="35"/>
    </row>
    <row r="4" spans="1:20" ht="15" customHeight="1" x14ac:dyDescent="0.2">
      <c r="A4" s="345" t="s">
        <v>3</v>
      </c>
      <c r="I4" s="92"/>
      <c r="J4" s="272"/>
      <c r="K4" s="35"/>
      <c r="L4" s="35"/>
      <c r="M4" s="35"/>
      <c r="N4" s="35"/>
      <c r="O4" s="35"/>
      <c r="P4" s="35"/>
      <c r="Q4" s="35"/>
      <c r="R4" s="35"/>
      <c r="S4" s="35"/>
      <c r="T4" s="35"/>
    </row>
    <row r="5" spans="1:20" ht="15" customHeight="1" thickBot="1" x14ac:dyDescent="0.25">
      <c r="A5" s="345"/>
      <c r="I5" s="92"/>
      <c r="J5" s="272"/>
      <c r="K5" s="35"/>
      <c r="L5" s="35"/>
      <c r="M5" s="35"/>
      <c r="N5" s="35"/>
      <c r="O5" s="35"/>
      <c r="P5" s="35"/>
      <c r="Q5" s="35"/>
      <c r="R5" s="35"/>
      <c r="S5" s="35"/>
      <c r="T5" s="35"/>
    </row>
    <row r="6" spans="1:20" ht="15" customHeight="1" x14ac:dyDescent="0.35">
      <c r="A6" s="345" t="s">
        <v>5</v>
      </c>
      <c r="B6" s="372" t="s">
        <v>241</v>
      </c>
      <c r="C6" s="380"/>
      <c r="D6" s="381" t="s">
        <v>56</v>
      </c>
      <c r="E6" s="381" t="s">
        <v>57</v>
      </c>
      <c r="F6" s="382"/>
      <c r="G6" s="382" t="s">
        <v>58</v>
      </c>
      <c r="H6" s="383"/>
      <c r="I6" s="92"/>
      <c r="J6" s="272"/>
      <c r="K6" s="35"/>
      <c r="L6" s="35"/>
      <c r="M6" s="35"/>
      <c r="N6" s="35"/>
      <c r="O6" s="35"/>
      <c r="P6" s="35"/>
      <c r="Q6" s="35"/>
      <c r="R6" s="35"/>
      <c r="S6" s="35"/>
      <c r="T6" s="35"/>
    </row>
    <row r="7" spans="1:20" ht="15" customHeight="1" x14ac:dyDescent="0.35">
      <c r="A7" s="345" t="s">
        <v>23</v>
      </c>
      <c r="B7" s="470" t="s">
        <v>173</v>
      </c>
      <c r="C7" s="266"/>
      <c r="D7" s="267">
        <v>0.1</v>
      </c>
      <c r="E7" s="268">
        <f>100%-D7</f>
        <v>0.9</v>
      </c>
      <c r="F7" s="260"/>
      <c r="G7" s="260">
        <f>IF((D7+E7)&gt;1, "OVER ALLOCATED", (D7+E7))</f>
        <v>1</v>
      </c>
      <c r="H7" s="424"/>
      <c r="I7" s="11"/>
      <c r="J7" s="475"/>
      <c r="K7" s="35"/>
      <c r="L7" s="35"/>
      <c r="M7" s="35"/>
      <c r="N7" s="35"/>
      <c r="O7" s="35"/>
      <c r="P7" s="35"/>
      <c r="Q7" s="35"/>
      <c r="R7" s="35"/>
      <c r="S7" s="35"/>
      <c r="T7" s="35"/>
    </row>
    <row r="8" spans="1:20" ht="15" customHeight="1" thickBot="1" x14ac:dyDescent="0.4">
      <c r="A8" s="345" t="s">
        <v>25</v>
      </c>
      <c r="B8" s="474" t="s">
        <v>174</v>
      </c>
      <c r="C8" s="425"/>
      <c r="D8" s="426">
        <v>0.05</v>
      </c>
      <c r="E8" s="427">
        <f>100%-D8</f>
        <v>0.95</v>
      </c>
      <c r="F8" s="428"/>
      <c r="G8" s="428">
        <f>IF((D8+E8)&gt;1, "OVER ALLOCATED", (D8+E8))</f>
        <v>1</v>
      </c>
      <c r="H8" s="429"/>
      <c r="I8" s="11"/>
      <c r="J8" s="475"/>
      <c r="K8" s="35"/>
      <c r="L8" s="35"/>
      <c r="M8" s="35"/>
      <c r="N8" s="35"/>
      <c r="O8" s="35"/>
      <c r="P8" s="35"/>
      <c r="Q8" s="35"/>
      <c r="R8" s="35"/>
      <c r="S8" s="35"/>
      <c r="T8" s="35"/>
    </row>
    <row r="9" spans="1:20" ht="15" customHeight="1" x14ac:dyDescent="0.35">
      <c r="A9" s="345" t="s">
        <v>30</v>
      </c>
      <c r="B9" s="272"/>
      <c r="C9" s="51"/>
      <c r="D9" s="51"/>
      <c r="E9" s="51"/>
      <c r="F9" s="273"/>
      <c r="G9" s="273"/>
      <c r="H9" s="274"/>
      <c r="I9" s="11"/>
      <c r="J9" s="475"/>
      <c r="K9" s="35"/>
      <c r="L9" s="35"/>
      <c r="M9" s="35"/>
      <c r="N9" s="35"/>
      <c r="O9" s="35"/>
      <c r="P9" s="35"/>
      <c r="Q9" s="35"/>
      <c r="R9" s="35"/>
      <c r="S9" s="35"/>
      <c r="T9" s="35"/>
    </row>
    <row r="10" spans="1:20" ht="15" customHeight="1" thickBot="1" x14ac:dyDescent="0.25">
      <c r="A10" s="345" t="s">
        <v>32</v>
      </c>
      <c r="F10" s="147"/>
      <c r="G10" s="147"/>
      <c r="H10" s="147"/>
      <c r="J10" s="475"/>
      <c r="K10" s="35"/>
      <c r="L10" s="35"/>
      <c r="M10" s="35"/>
      <c r="N10" s="35"/>
      <c r="O10" s="35"/>
      <c r="P10" s="35"/>
      <c r="Q10" s="35"/>
      <c r="R10" s="35"/>
      <c r="S10" s="35"/>
      <c r="T10" s="35"/>
    </row>
    <row r="11" spans="1:20" ht="15" customHeight="1" x14ac:dyDescent="0.35">
      <c r="A11" s="345" t="s">
        <v>34</v>
      </c>
      <c r="B11" s="372" t="s">
        <v>298</v>
      </c>
      <c r="C11" s="373"/>
      <c r="D11" s="374"/>
      <c r="E11" s="374"/>
      <c r="F11" s="375"/>
      <c r="G11" s="375"/>
      <c r="H11" s="376"/>
      <c r="I11" s="92"/>
      <c r="J11" s="35"/>
      <c r="K11" s="35"/>
      <c r="L11" s="35"/>
      <c r="M11" s="35"/>
      <c r="N11" s="35"/>
      <c r="O11" s="35"/>
      <c r="P11" s="35"/>
      <c r="Q11" s="35"/>
      <c r="R11" s="35"/>
      <c r="S11" s="35"/>
      <c r="T11" s="35"/>
    </row>
    <row r="12" spans="1:20" ht="15" customHeight="1" x14ac:dyDescent="0.35">
      <c r="A12" s="345" t="s">
        <v>36</v>
      </c>
      <c r="B12" s="461" t="s">
        <v>208</v>
      </c>
      <c r="C12" s="377" t="s">
        <v>26</v>
      </c>
      <c r="D12" s="378" t="s">
        <v>35</v>
      </c>
      <c r="E12" s="378" t="s">
        <v>59</v>
      </c>
      <c r="F12" s="379" t="s">
        <v>29</v>
      </c>
      <c r="G12" s="379" t="s">
        <v>58</v>
      </c>
      <c r="H12" s="430" t="str">
        <f>IF('Development by Block'!K17=60000," REHABBED"," DEMOLISHED")</f>
        <v xml:space="preserve"> DEMOLISHED</v>
      </c>
      <c r="J12" s="272"/>
      <c r="K12" s="35"/>
      <c r="L12" s="35"/>
      <c r="M12" s="35"/>
      <c r="N12" s="35"/>
      <c r="O12" s="35"/>
      <c r="P12" s="35"/>
      <c r="Q12" s="35"/>
      <c r="R12" s="35"/>
      <c r="S12" s="35"/>
      <c r="T12" s="35"/>
    </row>
    <row r="13" spans="1:20" ht="15" customHeight="1" x14ac:dyDescent="0.35">
      <c r="A13" s="345" t="s">
        <v>38</v>
      </c>
      <c r="B13" s="431" t="s">
        <v>188</v>
      </c>
      <c r="C13" s="137"/>
      <c r="D13" s="55"/>
      <c r="E13" s="148">
        <f>IF(AND(C13=0,D13=0,'Development by Block'!K17=60000),60000,0)</f>
        <v>0</v>
      </c>
      <c r="F13" s="149">
        <f>SUM(C13:E13)</f>
        <v>0</v>
      </c>
      <c r="G13" s="150">
        <f>IF((C13+D13+E13)&gt;60000,"OVER ALLOCATED",(C13+D13+E13)/60000)</f>
        <v>0</v>
      </c>
      <c r="H13" s="432" t="str">
        <f>IF(AND(H12=" demolished",SUM(C13:D13)&gt;0),"Set Office and Retail to Zero","")</f>
        <v/>
      </c>
      <c r="I13" s="92"/>
      <c r="J13" s="272"/>
      <c r="K13" s="35"/>
      <c r="L13" s="35"/>
      <c r="M13" s="35"/>
      <c r="N13" s="35"/>
      <c r="O13" s="35"/>
      <c r="P13" s="35"/>
      <c r="Q13" s="35"/>
      <c r="R13" s="35"/>
      <c r="S13" s="35"/>
      <c r="T13" s="35"/>
    </row>
    <row r="14" spans="1:20" ht="15" customHeight="1" x14ac:dyDescent="0.2">
      <c r="A14" s="345" t="s">
        <v>14</v>
      </c>
      <c r="B14" s="462"/>
      <c r="C14" s="447"/>
      <c r="D14" s="388"/>
      <c r="E14" s="447"/>
      <c r="F14" s="450"/>
      <c r="G14" s="450"/>
      <c r="H14" s="389"/>
      <c r="I14" s="11"/>
      <c r="J14" s="475"/>
      <c r="K14" s="35"/>
      <c r="L14" s="35"/>
      <c r="M14" s="35"/>
      <c r="N14" s="35"/>
      <c r="O14" s="35"/>
      <c r="P14" s="35"/>
      <c r="Q14" s="35"/>
      <c r="R14" s="35"/>
      <c r="S14" s="35"/>
      <c r="T14" s="35"/>
    </row>
    <row r="15" spans="1:20" ht="15" customHeight="1" x14ac:dyDescent="0.35">
      <c r="A15" s="345" t="s">
        <v>15</v>
      </c>
      <c r="B15" s="463" t="s">
        <v>210</v>
      </c>
      <c r="C15" s="448" t="s">
        <v>26</v>
      </c>
      <c r="D15" s="449" t="s">
        <v>35</v>
      </c>
      <c r="E15" s="387" t="s">
        <v>187</v>
      </c>
      <c r="F15" s="384" t="s">
        <v>29</v>
      </c>
      <c r="G15" s="384" t="s">
        <v>58</v>
      </c>
      <c r="H15" s="451" t="s">
        <v>212</v>
      </c>
      <c r="I15" s="92"/>
      <c r="J15" s="475"/>
      <c r="K15" s="35"/>
      <c r="L15" s="35"/>
      <c r="M15" s="35"/>
      <c r="N15" s="35"/>
      <c r="O15" s="35"/>
      <c r="P15" s="35"/>
      <c r="Q15" s="35"/>
      <c r="R15" s="35"/>
      <c r="S15" s="35"/>
      <c r="T15" s="35"/>
    </row>
    <row r="16" spans="1:20" ht="15" customHeight="1" x14ac:dyDescent="0.35">
      <c r="A16" s="351"/>
      <c r="B16" s="469" t="s">
        <v>315</v>
      </c>
      <c r="C16" s="446"/>
      <c r="D16" s="251"/>
      <c r="E16" s="253"/>
      <c r="F16" s="254"/>
      <c r="G16" s="254"/>
      <c r="H16" s="433"/>
      <c r="J16" s="272"/>
      <c r="K16" s="35"/>
      <c r="L16" s="35"/>
      <c r="M16" s="35"/>
      <c r="N16" s="35"/>
      <c r="O16" s="35"/>
      <c r="P16" s="35"/>
      <c r="Q16" s="35"/>
      <c r="R16" s="35"/>
      <c r="S16" s="35"/>
      <c r="T16" s="35"/>
    </row>
    <row r="17" spans="1:20" ht="15" customHeight="1" x14ac:dyDescent="0.35">
      <c r="A17" s="351"/>
      <c r="B17" s="469" t="s">
        <v>299</v>
      </c>
      <c r="C17" s="247"/>
      <c r="D17" s="242"/>
      <c r="E17" s="255"/>
      <c r="F17" s="256"/>
      <c r="G17" s="256"/>
      <c r="H17" s="434"/>
      <c r="J17" s="272"/>
      <c r="K17" s="35"/>
      <c r="L17" s="35"/>
      <c r="M17" s="35"/>
      <c r="N17" s="35"/>
      <c r="O17" s="35"/>
      <c r="P17" s="35"/>
      <c r="Q17" s="35"/>
      <c r="R17" s="35"/>
      <c r="S17" s="35"/>
      <c r="T17" s="35"/>
    </row>
    <row r="18" spans="1:20" ht="15" customHeight="1" x14ac:dyDescent="0.35">
      <c r="A18" s="345"/>
      <c r="B18" s="469" t="s">
        <v>300</v>
      </c>
      <c r="C18" s="247"/>
      <c r="D18" s="242"/>
      <c r="E18" s="255">
        <v>0</v>
      </c>
      <c r="F18" s="256"/>
      <c r="G18" s="256"/>
      <c r="H18" s="434"/>
      <c r="I18" s="30"/>
      <c r="J18" s="272"/>
      <c r="K18" s="35"/>
      <c r="L18" s="35"/>
      <c r="M18" s="35"/>
      <c r="N18" s="35"/>
      <c r="O18" s="35"/>
      <c r="P18" s="35"/>
      <c r="Q18" s="35"/>
      <c r="R18" s="35"/>
      <c r="S18" s="35"/>
      <c r="T18" s="35"/>
    </row>
    <row r="19" spans="1:20" ht="15" customHeight="1" x14ac:dyDescent="0.35">
      <c r="A19" s="345" t="s">
        <v>61</v>
      </c>
      <c r="B19" s="470" t="s">
        <v>301</v>
      </c>
      <c r="C19" s="248"/>
      <c r="D19" s="243"/>
      <c r="E19" s="257">
        <v>0</v>
      </c>
      <c r="F19" s="258"/>
      <c r="G19" s="258"/>
      <c r="H19" s="424"/>
      <c r="I19" s="11"/>
      <c r="J19" s="272"/>
      <c r="K19" s="35"/>
      <c r="L19" s="35"/>
      <c r="M19" s="35"/>
      <c r="N19" s="35"/>
      <c r="O19" s="35"/>
      <c r="P19" s="35"/>
      <c r="Q19" s="35"/>
      <c r="R19" s="35"/>
      <c r="S19" s="35"/>
      <c r="T19" s="35"/>
    </row>
    <row r="20" spans="1:20" ht="15" customHeight="1" x14ac:dyDescent="0.35">
      <c r="A20" s="345"/>
      <c r="B20" s="470" t="s">
        <v>302</v>
      </c>
      <c r="C20" s="249"/>
      <c r="D20" s="244"/>
      <c r="E20" s="259">
        <v>0</v>
      </c>
      <c r="F20" s="260"/>
      <c r="G20" s="260"/>
      <c r="H20" s="424"/>
      <c r="I20" s="11"/>
      <c r="J20" s="272"/>
      <c r="K20" s="35"/>
      <c r="L20" s="35"/>
      <c r="M20" s="35"/>
      <c r="N20" s="35"/>
      <c r="O20" s="35"/>
      <c r="P20" s="35"/>
      <c r="Q20" s="35"/>
      <c r="R20" s="35"/>
      <c r="S20" s="35"/>
      <c r="T20" s="35"/>
    </row>
    <row r="21" spans="1:20" ht="15" customHeight="1" x14ac:dyDescent="0.35">
      <c r="A21" s="345" t="s">
        <v>62</v>
      </c>
      <c r="B21" s="470" t="s">
        <v>303</v>
      </c>
      <c r="C21" s="249"/>
      <c r="D21" s="244"/>
      <c r="E21" s="259"/>
      <c r="F21" s="260"/>
      <c r="G21" s="260"/>
      <c r="H21" s="424"/>
      <c r="I21" s="11"/>
      <c r="J21" s="272"/>
      <c r="K21" s="35"/>
      <c r="L21" s="35"/>
      <c r="M21" s="35"/>
      <c r="N21" s="35"/>
      <c r="O21" s="35"/>
      <c r="P21" s="35"/>
      <c r="Q21" s="35"/>
      <c r="R21" s="35"/>
      <c r="S21" s="35"/>
      <c r="T21" s="35"/>
    </row>
    <row r="22" spans="1:20" ht="15" customHeight="1" x14ac:dyDescent="0.35">
      <c r="A22" s="345"/>
      <c r="B22" s="470" t="s">
        <v>304</v>
      </c>
      <c r="C22" s="249"/>
      <c r="D22" s="244"/>
      <c r="E22" s="259">
        <v>0</v>
      </c>
      <c r="F22" s="260"/>
      <c r="G22" s="260"/>
      <c r="H22" s="424"/>
      <c r="I22" s="11"/>
      <c r="J22" s="272"/>
      <c r="K22" s="35"/>
      <c r="L22" s="35"/>
      <c r="M22" s="35"/>
      <c r="N22" s="35"/>
      <c r="O22" s="35"/>
      <c r="P22" s="35"/>
      <c r="Q22" s="35"/>
      <c r="R22" s="35"/>
      <c r="S22" s="35"/>
      <c r="T22" s="35"/>
    </row>
    <row r="23" spans="1:20" ht="15" customHeight="1" x14ac:dyDescent="0.35">
      <c r="A23" s="346"/>
      <c r="B23" s="470" t="s">
        <v>305</v>
      </c>
      <c r="C23" s="249"/>
      <c r="D23" s="244"/>
      <c r="E23" s="259">
        <v>0</v>
      </c>
      <c r="F23" s="260"/>
      <c r="G23" s="260"/>
      <c r="H23" s="424"/>
      <c r="I23" s="11"/>
      <c r="J23" s="272"/>
      <c r="K23" s="35"/>
      <c r="L23" s="35"/>
      <c r="M23" s="35"/>
      <c r="N23" s="35"/>
      <c r="O23" s="35"/>
      <c r="P23" s="35"/>
      <c r="Q23" s="35"/>
      <c r="R23" s="35"/>
      <c r="S23" s="35"/>
      <c r="T23" s="35"/>
    </row>
    <row r="24" spans="1:20" ht="15" customHeight="1" x14ac:dyDescent="0.35">
      <c r="A24" s="345"/>
      <c r="B24" s="470" t="s">
        <v>306</v>
      </c>
      <c r="C24" s="249"/>
      <c r="D24" s="244"/>
      <c r="E24" s="259">
        <v>1500</v>
      </c>
      <c r="F24" s="260"/>
      <c r="G24" s="260"/>
      <c r="H24" s="424"/>
      <c r="I24" s="11"/>
      <c r="J24" s="272"/>
      <c r="K24" s="35"/>
      <c r="L24" s="35"/>
      <c r="M24" s="35"/>
      <c r="N24" s="35"/>
      <c r="O24" s="35"/>
      <c r="P24" s="35"/>
      <c r="Q24" s="35"/>
      <c r="R24" s="35"/>
      <c r="S24" s="35"/>
      <c r="T24" s="35"/>
    </row>
    <row r="25" spans="1:20" ht="15" customHeight="1" x14ac:dyDescent="0.35">
      <c r="A25" s="347"/>
      <c r="B25" s="470" t="s">
        <v>307</v>
      </c>
      <c r="C25" s="249"/>
      <c r="D25" s="244"/>
      <c r="E25" s="259">
        <v>0</v>
      </c>
      <c r="F25" s="260"/>
      <c r="G25" s="260"/>
      <c r="H25" s="424"/>
      <c r="I25" s="92"/>
      <c r="J25" s="35"/>
      <c r="K25" s="35"/>
      <c r="L25" s="35"/>
      <c r="M25" s="35"/>
      <c r="N25" s="35"/>
      <c r="O25" s="35"/>
      <c r="P25" s="35"/>
      <c r="Q25" s="35"/>
      <c r="R25" s="35"/>
      <c r="S25" s="35"/>
      <c r="T25" s="35"/>
    </row>
    <row r="26" spans="1:20" ht="15" customHeight="1" x14ac:dyDescent="0.35">
      <c r="A26" s="347"/>
      <c r="B26" s="470" t="s">
        <v>308</v>
      </c>
      <c r="C26" s="249"/>
      <c r="D26" s="244"/>
      <c r="E26" s="259"/>
      <c r="F26" s="260"/>
      <c r="G26" s="260"/>
      <c r="H26" s="424"/>
      <c r="I26" s="92"/>
      <c r="J26" s="35"/>
      <c r="K26" s="35"/>
      <c r="L26" s="35"/>
      <c r="M26" s="35"/>
      <c r="N26" s="35"/>
      <c r="O26" s="35"/>
      <c r="P26" s="35"/>
      <c r="Q26" s="35"/>
      <c r="R26" s="35"/>
      <c r="S26" s="35"/>
      <c r="T26" s="35"/>
    </row>
    <row r="27" spans="1:20" ht="15" customHeight="1" x14ac:dyDescent="0.35">
      <c r="A27" s="347"/>
      <c r="B27" s="471" t="s">
        <v>309</v>
      </c>
      <c r="C27" s="248"/>
      <c r="D27" s="243"/>
      <c r="E27" s="257"/>
      <c r="F27" s="258"/>
      <c r="G27" s="258"/>
      <c r="H27" s="435"/>
      <c r="I27" s="92"/>
      <c r="J27" s="35"/>
      <c r="K27" s="35"/>
      <c r="L27" s="35"/>
      <c r="M27" s="35"/>
      <c r="N27" s="35"/>
      <c r="O27" s="35"/>
      <c r="P27" s="35"/>
      <c r="Q27" s="35"/>
      <c r="R27" s="35"/>
      <c r="S27" s="35"/>
      <c r="T27" s="35"/>
    </row>
    <row r="28" spans="1:20" ht="15" customHeight="1" x14ac:dyDescent="0.2">
      <c r="A28" s="347"/>
      <c r="B28" s="472" t="s">
        <v>310</v>
      </c>
      <c r="C28" s="250"/>
      <c r="D28" s="245"/>
      <c r="E28" s="261">
        <v>0</v>
      </c>
      <c r="F28" s="262"/>
      <c r="G28" s="262"/>
      <c r="H28" s="436" t="str">
        <f>IF(AND($E$35=$E$28,$E$28&gt;0),"***Please Set Artist Studios Space to Zero and See Footnote 3***","")</f>
        <v/>
      </c>
      <c r="I28" s="92"/>
      <c r="J28" s="35"/>
      <c r="K28" s="35"/>
      <c r="L28" s="35"/>
      <c r="M28" s="35"/>
      <c r="N28" s="35"/>
      <c r="O28" s="35"/>
      <c r="P28" s="35"/>
      <c r="Q28" s="35"/>
      <c r="R28" s="35"/>
      <c r="S28" s="35"/>
      <c r="T28" s="35"/>
    </row>
    <row r="29" spans="1:20" ht="15" customHeight="1" x14ac:dyDescent="0.2">
      <c r="A29" s="347"/>
      <c r="B29" s="473" t="s">
        <v>314</v>
      </c>
      <c r="C29" s="249"/>
      <c r="D29" s="244"/>
      <c r="E29" s="259"/>
      <c r="F29" s="260"/>
      <c r="G29" s="260"/>
      <c r="H29" s="437" t="str">
        <f>IF(AND($E$36=$E$29,$E$29&gt;0),"*Please Set Univ. Classrooms Space to Zero and See Footnote 4*","")</f>
        <v/>
      </c>
      <c r="I29" s="105"/>
      <c r="J29" s="272"/>
      <c r="K29" s="35"/>
      <c r="L29" s="35"/>
      <c r="M29" s="35"/>
      <c r="N29" s="35"/>
      <c r="O29" s="35"/>
      <c r="P29" s="35"/>
      <c r="Q29" s="35"/>
      <c r="R29" s="35"/>
      <c r="S29" s="35"/>
      <c r="T29" s="35"/>
    </row>
    <row r="30" spans="1:20" ht="15" customHeight="1" x14ac:dyDescent="0.35">
      <c r="A30" s="347"/>
      <c r="B30" s="471" t="s">
        <v>148</v>
      </c>
      <c r="C30" s="385">
        <f>IF((48000-SUM(D16:E29))&lt;0,"OVERBUILD",48000-SUM(D16:E29))</f>
        <v>46500</v>
      </c>
      <c r="D30" s="252"/>
      <c r="E30" s="263"/>
      <c r="F30" s="264"/>
      <c r="G30" s="265"/>
      <c r="H30" s="435"/>
      <c r="I30" s="11"/>
      <c r="J30" s="272"/>
      <c r="K30" s="35"/>
      <c r="L30" s="35"/>
      <c r="M30" s="35"/>
      <c r="N30" s="35"/>
      <c r="O30" s="35"/>
      <c r="P30" s="35"/>
      <c r="Q30" s="35"/>
      <c r="R30" s="35"/>
      <c r="S30" s="35"/>
      <c r="T30" s="35"/>
    </row>
    <row r="31" spans="1:20" ht="15" customHeight="1" x14ac:dyDescent="0.35">
      <c r="A31" s="347"/>
      <c r="B31" s="438" t="s">
        <v>188</v>
      </c>
      <c r="C31" s="386">
        <f>SUM(C16:C30)</f>
        <v>46500</v>
      </c>
      <c r="D31" s="246">
        <f>SUM(D16:D30)</f>
        <v>0</v>
      </c>
      <c r="E31" s="227">
        <f>SUM(E16:E30)</f>
        <v>1500</v>
      </c>
      <c r="F31" s="228">
        <f>SUM(C31:E31)</f>
        <v>48000</v>
      </c>
      <c r="G31" s="229">
        <f>SUM(C31:E31)/48000</f>
        <v>1</v>
      </c>
      <c r="H31" s="439"/>
      <c r="I31" s="11"/>
      <c r="J31" s="272"/>
      <c r="K31" s="35"/>
      <c r="L31" s="35"/>
      <c r="M31" s="35"/>
      <c r="N31" s="35"/>
      <c r="O31" s="35"/>
      <c r="P31" s="35"/>
      <c r="Q31" s="35"/>
      <c r="R31" s="35"/>
      <c r="S31" s="35"/>
      <c r="T31" s="35"/>
    </row>
    <row r="32" spans="1:20" ht="15" customHeight="1" x14ac:dyDescent="0.35">
      <c r="A32" s="347"/>
      <c r="B32" s="462"/>
      <c r="C32" s="452"/>
      <c r="D32" s="452"/>
      <c r="E32" s="452"/>
      <c r="F32" s="456"/>
      <c r="G32" s="457"/>
      <c r="H32" s="464"/>
      <c r="I32" s="11"/>
      <c r="J32" s="272"/>
      <c r="K32" s="35"/>
      <c r="L32" s="35"/>
      <c r="M32" s="35"/>
      <c r="N32" s="35"/>
      <c r="O32" s="35"/>
      <c r="P32" s="35"/>
      <c r="Q32" s="35"/>
      <c r="R32" s="35"/>
      <c r="S32" s="35"/>
      <c r="T32" s="35"/>
    </row>
    <row r="33" spans="1:20" ht="15" customHeight="1" x14ac:dyDescent="0.35">
      <c r="A33" s="347"/>
      <c r="B33" s="463" t="s">
        <v>311</v>
      </c>
      <c r="C33" s="453" t="s">
        <v>26</v>
      </c>
      <c r="D33" s="453" t="s">
        <v>35</v>
      </c>
      <c r="E33" s="453" t="s">
        <v>187</v>
      </c>
      <c r="F33" s="384" t="s">
        <v>29</v>
      </c>
      <c r="G33" s="384" t="s">
        <v>58</v>
      </c>
      <c r="H33" s="465" t="str">
        <f>IF('Development by Block'!S19=60000,"REHABBED","DEMOLISHED")</f>
        <v>REHABBED</v>
      </c>
      <c r="I33" s="11"/>
      <c r="J33" s="272"/>
      <c r="K33" s="35"/>
      <c r="L33" s="35"/>
      <c r="M33" s="35"/>
      <c r="N33" s="35"/>
      <c r="O33" s="35"/>
      <c r="P33" s="35"/>
      <c r="Q33" s="35"/>
      <c r="R33" s="35"/>
      <c r="S33" s="35"/>
      <c r="T33" s="35"/>
    </row>
    <row r="34" spans="1:20" ht="15" customHeight="1" x14ac:dyDescent="0.2">
      <c r="A34" s="347"/>
      <c r="B34" s="469" t="s">
        <v>312</v>
      </c>
      <c r="C34" s="476"/>
      <c r="D34" s="505"/>
      <c r="E34" s="454"/>
      <c r="F34" s="455"/>
      <c r="G34" s="256"/>
      <c r="H34" s="479" t="str">
        <f>IF(AND(H33="demolished",SUM(C34:E37)&gt;0),"Set All Uses to Zero","")</f>
        <v/>
      </c>
      <c r="I34" s="11"/>
      <c r="J34" s="272"/>
      <c r="K34" s="35"/>
      <c r="L34" s="35"/>
      <c r="M34" s="35"/>
      <c r="N34" s="35"/>
      <c r="O34" s="35"/>
      <c r="P34" s="35"/>
      <c r="Q34" s="35"/>
      <c r="R34" s="35"/>
      <c r="S34" s="35"/>
      <c r="T34" s="35"/>
    </row>
    <row r="35" spans="1:20" ht="15" customHeight="1" x14ac:dyDescent="0.2">
      <c r="A35" s="347"/>
      <c r="B35" s="470" t="s">
        <v>310</v>
      </c>
      <c r="C35" s="266"/>
      <c r="D35" s="269"/>
      <c r="E35" s="506">
        <v>0</v>
      </c>
      <c r="F35" s="270"/>
      <c r="G35" s="260"/>
      <c r="H35" s="440" t="str">
        <f>IF(AND($E$35=$E$28,$E$28&gt;0),"***Please Set Artist Stuidios Space to Zero and See Footnote 3***","")</f>
        <v/>
      </c>
      <c r="J35" s="272"/>
      <c r="K35" s="35"/>
      <c r="L35" s="35"/>
      <c r="M35" s="35"/>
      <c r="N35" s="35"/>
      <c r="O35" s="35"/>
      <c r="P35" s="35"/>
      <c r="Q35" s="35"/>
      <c r="R35" s="35"/>
      <c r="S35" s="35"/>
      <c r="T35" s="35"/>
    </row>
    <row r="36" spans="1:20" ht="15" customHeight="1" x14ac:dyDescent="0.2">
      <c r="A36" s="347"/>
      <c r="B36" s="470" t="s">
        <v>313</v>
      </c>
      <c r="C36" s="266"/>
      <c r="D36" s="269"/>
      <c r="E36" s="478"/>
      <c r="F36" s="270"/>
      <c r="G36" s="260"/>
      <c r="H36" s="440" t="str">
        <f>IF(AND($E$36=$E$29,$E$29&gt;0),"*Please Set Univ. Classrooms Space to Zero and See Footnote 4*","")</f>
        <v/>
      </c>
      <c r="J36" s="272"/>
      <c r="K36" s="35"/>
      <c r="L36" s="35"/>
      <c r="M36" s="35"/>
      <c r="N36" s="35"/>
      <c r="O36" s="35"/>
      <c r="P36" s="35"/>
      <c r="Q36" s="35"/>
      <c r="R36" s="35"/>
      <c r="S36" s="35"/>
      <c r="T36" s="35"/>
    </row>
    <row r="37" spans="1:20" ht="15" customHeight="1" x14ac:dyDescent="0.35">
      <c r="A37" s="347"/>
      <c r="B37" s="471" t="s">
        <v>148</v>
      </c>
      <c r="C37" s="271">
        <f>IF('Development by Block'!S19=0,0,60000-SUM(C34:E36))</f>
        <v>60000</v>
      </c>
      <c r="D37" s="477"/>
      <c r="E37" s="477"/>
      <c r="F37" s="271"/>
      <c r="G37" s="258"/>
      <c r="H37" s="441"/>
      <c r="J37" s="272"/>
      <c r="K37" s="35"/>
      <c r="L37" s="35"/>
      <c r="M37" s="35"/>
      <c r="N37" s="35"/>
      <c r="O37" s="35"/>
      <c r="P37" s="35"/>
      <c r="Q37" s="35"/>
      <c r="R37" s="35"/>
      <c r="S37" s="35"/>
      <c r="T37" s="35"/>
    </row>
    <row r="38" spans="1:20" ht="15" customHeight="1" x14ac:dyDescent="0.35">
      <c r="A38" s="347"/>
      <c r="B38" s="460" t="s">
        <v>188</v>
      </c>
      <c r="C38" s="458">
        <f>SUM(C34:C37)</f>
        <v>60000</v>
      </c>
      <c r="D38" s="458">
        <f t="shared" ref="D38:E38" si="0">SUM(D34:D37)</f>
        <v>0</v>
      </c>
      <c r="E38" s="458">
        <f t="shared" si="0"/>
        <v>0</v>
      </c>
      <c r="F38" s="458">
        <f>SUM(C38:E38)</f>
        <v>60000</v>
      </c>
      <c r="G38" s="262">
        <f>SUM(C38:E38)/60000</f>
        <v>1</v>
      </c>
      <c r="H38" s="459"/>
      <c r="J38" s="272"/>
      <c r="K38" s="35"/>
      <c r="L38" s="35"/>
      <c r="M38" s="35"/>
      <c r="N38" s="35"/>
      <c r="O38" s="35"/>
      <c r="P38" s="35"/>
      <c r="Q38" s="35"/>
      <c r="R38" s="35"/>
      <c r="S38" s="35"/>
      <c r="T38" s="35"/>
    </row>
    <row r="39" spans="1:20" ht="15" customHeight="1" x14ac:dyDescent="0.2">
      <c r="A39" s="347"/>
      <c r="B39" s="462"/>
      <c r="C39" s="447"/>
      <c r="D39" s="447"/>
      <c r="E39" s="447"/>
      <c r="F39" s="450"/>
      <c r="G39" s="450"/>
      <c r="H39" s="466"/>
      <c r="J39" s="272"/>
      <c r="K39" s="35"/>
      <c r="L39" s="35"/>
      <c r="M39" s="35"/>
      <c r="N39" s="35"/>
      <c r="O39" s="35"/>
      <c r="P39" s="35"/>
      <c r="Q39" s="35"/>
      <c r="R39" s="35"/>
      <c r="S39" s="35"/>
      <c r="T39" s="35"/>
    </row>
    <row r="40" spans="1:20" ht="15" customHeight="1" x14ac:dyDescent="0.2">
      <c r="A40" s="347"/>
      <c r="B40" s="467"/>
      <c r="C40" s="453" t="s">
        <v>26</v>
      </c>
      <c r="D40" s="453" t="s">
        <v>35</v>
      </c>
      <c r="E40" s="453" t="s">
        <v>187</v>
      </c>
      <c r="F40" s="384" t="s">
        <v>29</v>
      </c>
      <c r="G40" s="384"/>
      <c r="H40" s="468"/>
      <c r="J40" s="272"/>
      <c r="K40" s="35"/>
      <c r="L40" s="35"/>
      <c r="M40" s="35"/>
      <c r="N40" s="35"/>
      <c r="O40" s="35"/>
      <c r="P40" s="35"/>
      <c r="Q40" s="35"/>
      <c r="R40" s="35"/>
      <c r="S40" s="35"/>
      <c r="T40" s="35"/>
    </row>
    <row r="41" spans="1:20" ht="15" customHeight="1" thickBot="1" x14ac:dyDescent="0.4">
      <c r="A41" s="347"/>
      <c r="B41" s="442" t="s">
        <v>189</v>
      </c>
      <c r="C41" s="443">
        <f>SUM(C38,C31,C13)</f>
        <v>106500</v>
      </c>
      <c r="D41" s="443">
        <f>SUM(D38,D31,D13)</f>
        <v>0</v>
      </c>
      <c r="E41" s="443">
        <f>SUM(E38,E31,E13)</f>
        <v>1500</v>
      </c>
      <c r="F41" s="443">
        <f>SUM(F38,F31,F13)</f>
        <v>108000</v>
      </c>
      <c r="G41" s="444"/>
      <c r="H41" s="445"/>
      <c r="J41" s="272"/>
      <c r="K41" s="35"/>
      <c r="L41" s="35"/>
      <c r="M41" s="35"/>
      <c r="N41" s="35"/>
      <c r="O41" s="35"/>
      <c r="P41" s="35"/>
      <c r="Q41" s="35"/>
      <c r="R41" s="35"/>
      <c r="S41" s="35"/>
      <c r="T41" s="35"/>
    </row>
    <row r="42" spans="1:20" ht="15" customHeight="1" x14ac:dyDescent="0.2">
      <c r="A42" s="347"/>
      <c r="J42" s="272"/>
      <c r="K42" s="35"/>
      <c r="L42" s="35"/>
      <c r="M42" s="35"/>
      <c r="N42" s="35"/>
      <c r="O42" s="35"/>
      <c r="P42" s="35"/>
      <c r="Q42" s="35"/>
      <c r="R42" s="35"/>
      <c r="S42" s="35"/>
      <c r="T42" s="35"/>
    </row>
    <row r="43" spans="1:20" ht="15" customHeight="1" x14ac:dyDescent="0.2">
      <c r="A43" s="347"/>
      <c r="B43" s="369" t="s">
        <v>175</v>
      </c>
      <c r="C43" s="370"/>
      <c r="D43" s="371"/>
      <c r="E43" s="234"/>
      <c r="F43" s="234"/>
      <c r="G43" s="234"/>
      <c r="H43" s="235"/>
      <c r="J43" s="272"/>
      <c r="K43" s="35"/>
      <c r="L43" s="35"/>
      <c r="M43" s="35"/>
      <c r="N43" s="35"/>
      <c r="O43" s="35"/>
      <c r="P43" s="35"/>
      <c r="Q43" s="35"/>
      <c r="R43" s="35"/>
      <c r="S43" s="35"/>
      <c r="T43" s="35"/>
    </row>
    <row r="44" spans="1:20" ht="15" customHeight="1" x14ac:dyDescent="0.2">
      <c r="A44" s="347"/>
      <c r="B44" s="56" t="s">
        <v>316</v>
      </c>
      <c r="J44" s="272"/>
      <c r="K44" s="35"/>
      <c r="L44" s="35"/>
      <c r="M44" s="35"/>
      <c r="N44" s="35"/>
      <c r="O44" s="35"/>
      <c r="P44" s="35"/>
      <c r="Q44" s="35"/>
      <c r="R44" s="35"/>
      <c r="S44" s="35"/>
      <c r="T44" s="35"/>
    </row>
    <row r="45" spans="1:20" ht="15" customHeight="1" x14ac:dyDescent="0.2">
      <c r="A45" s="347"/>
      <c r="B45" s="57" t="s">
        <v>320</v>
      </c>
      <c r="J45" s="272"/>
      <c r="K45" s="35"/>
      <c r="L45" s="35"/>
      <c r="M45" s="35"/>
      <c r="N45" s="35"/>
      <c r="O45" s="35"/>
      <c r="P45" s="35"/>
      <c r="Q45" s="35"/>
      <c r="R45" s="35"/>
      <c r="S45" s="35"/>
      <c r="T45" s="35"/>
    </row>
    <row r="46" spans="1:20" ht="15" customHeight="1" x14ac:dyDescent="0.2">
      <c r="A46" s="347"/>
      <c r="B46" s="57" t="s">
        <v>319</v>
      </c>
      <c r="C46" s="58"/>
      <c r="D46" s="95"/>
      <c r="G46" s="58"/>
      <c r="J46" s="272"/>
      <c r="K46" s="35"/>
      <c r="L46" s="35"/>
      <c r="M46" s="35"/>
      <c r="N46" s="35"/>
      <c r="O46" s="35"/>
      <c r="P46" s="35"/>
      <c r="Q46" s="35"/>
      <c r="R46" s="35"/>
      <c r="S46" s="35"/>
      <c r="T46" s="35"/>
    </row>
    <row r="47" spans="1:20" ht="15" customHeight="1" x14ac:dyDescent="0.2">
      <c r="A47" s="347"/>
      <c r="B47" s="57" t="s">
        <v>318</v>
      </c>
      <c r="D47" s="106"/>
      <c r="J47" s="272"/>
      <c r="K47" s="35"/>
      <c r="L47" s="35"/>
      <c r="M47" s="35"/>
      <c r="N47" s="35"/>
      <c r="O47" s="35"/>
      <c r="P47" s="35"/>
      <c r="Q47" s="35"/>
      <c r="R47" s="35"/>
      <c r="S47" s="35"/>
      <c r="T47" s="35"/>
    </row>
    <row r="48" spans="1:20" ht="15" customHeight="1" x14ac:dyDescent="0.2">
      <c r="A48" s="347"/>
      <c r="B48" s="59" t="s">
        <v>317</v>
      </c>
      <c r="J48" s="272"/>
      <c r="K48" s="35"/>
      <c r="L48" s="35"/>
      <c r="M48" s="35"/>
      <c r="N48" s="35"/>
      <c r="O48" s="35"/>
      <c r="P48" s="35"/>
      <c r="Q48" s="35"/>
      <c r="R48" s="35"/>
      <c r="S48" s="35"/>
      <c r="T48" s="35"/>
    </row>
    <row r="49" spans="1:1" ht="15" customHeight="1" x14ac:dyDescent="0.2">
      <c r="A49" s="347"/>
    </row>
    <row r="50" spans="1:1" hidden="1" x14ac:dyDescent="0.2">
      <c r="A50" s="347"/>
    </row>
    <row r="51" spans="1:1" hidden="1" x14ac:dyDescent="0.2">
      <c r="A51" s="347"/>
    </row>
    <row r="52" spans="1:1" hidden="1" x14ac:dyDescent="0.2">
      <c r="A52" s="347"/>
    </row>
    <row r="53" spans="1:1" hidden="1" x14ac:dyDescent="0.2">
      <c r="A53" s="347"/>
    </row>
    <row r="54" spans="1:1" hidden="1" x14ac:dyDescent="0.2">
      <c r="A54" s="347"/>
    </row>
    <row r="55" spans="1:1" hidden="1" x14ac:dyDescent="0.2">
      <c r="A55" s="347"/>
    </row>
    <row r="56" spans="1:1" hidden="1" x14ac:dyDescent="0.2">
      <c r="A56" s="347"/>
    </row>
  </sheetData>
  <sheetProtection sheet="1" objects="1" scenarios="1"/>
  <dataValidations count="16">
    <dataValidation type="decimal" errorStyle="warning" allowBlank="1" showInputMessage="1" showErrorMessage="1" errorTitle="Over 100% Allocated" error="Reduce % allocated to Affordable Housing to 100% or less" sqref="D7:D8">
      <formula1>0</formula1>
      <formula2>1</formula2>
    </dataValidation>
    <dataValidation type="whole" allowBlank="1" showInputMessage="1" showErrorMessage="1" errorTitle="Exceeds Maximum Square Feet" error="Please reduce the square footage entered to 12,000 sf or less." sqref="D16:D17">
      <formula1>0</formula1>
      <formula2>12000</formula2>
    </dataValidation>
    <dataValidation type="whole" errorStyle="warning" allowBlank="1" showInputMessage="1" showErrorMessage="1" errorTitle="Exceeds Maximum Square Feet" error="Reduce square footage to 18,000 sf or less." sqref="D34">
      <formula1>0</formula1>
      <formula2>18000</formula2>
    </dataValidation>
    <dataValidation type="list" allowBlank="1" showInputMessage="1" showErrorMessage="1" error="Please press CANCEL and select entry from dropdown box." sqref="E20">
      <formula1>"0,2000"</formula1>
    </dataValidation>
    <dataValidation type="list" allowBlank="1" showInputMessage="1" showErrorMessage="1" error="Please press CANCEL and select entry from dropdown box." sqref="E35 E28">
      <formula1>"0,10000"</formula1>
    </dataValidation>
    <dataValidation type="list" allowBlank="1" showInputMessage="1" showErrorMessage="1" error="Please press CANCEL and select entry from dropdown box." sqref="E26">
      <formula1>"0,5000"</formula1>
    </dataValidation>
    <dataValidation type="list" allowBlank="1" showInputMessage="1" showErrorMessage="1" error="Please press CANCEL and select entry from dropdown box." sqref="E22:E24">
      <formula1>"0,1500"</formula1>
    </dataValidation>
    <dataValidation type="whole" allowBlank="1" showInputMessage="1" showErrorMessage="1" errorTitle="Exceeds Maximum Square Feet" error="Please reduce the square footage entered to 60,000 sf or less." sqref="C13">
      <formula1>0</formula1>
      <formula2>60000</formula2>
    </dataValidation>
    <dataValidation type="whole" allowBlank="1" showInputMessage="1" showErrorMessage="1" errorTitle="Exceeds Maximum Square Feet" error="Please reduce the square footage entered to 18,000 sf or less." sqref="D13">
      <formula1>0</formula1>
      <formula2>18000</formula2>
    </dataValidation>
    <dataValidation type="list" allowBlank="1" showInputMessage="1" showErrorMessage="1" sqref="E29 E36">
      <formula1>"0,15000"</formula1>
    </dataValidation>
    <dataValidation type="list" allowBlank="1" showInputMessage="1" showErrorMessage="1" error="Please press CANCEL and select entry from dropdown box." sqref="E21">
      <formula1>"0,3500"</formula1>
    </dataValidation>
    <dataValidation type="list" allowBlank="1" showInputMessage="1" showErrorMessage="1" error="Please press CANCEL and select entry from dropdown box." sqref="E19">
      <formula1>"0,7000"</formula1>
    </dataValidation>
    <dataValidation type="list" allowBlank="1" showInputMessage="1" showErrorMessage="1" error="Please press CANCEL and select entry from dropdown box." sqref="E27">
      <formula1>"0,5500"</formula1>
    </dataValidation>
    <dataValidation type="list" allowBlank="1" showInputMessage="1" showErrorMessage="1" error="Please press CANCEL and select entry from dropdown box." sqref="E17">
      <formula1>"0,7500"</formula1>
    </dataValidation>
    <dataValidation type="list" allowBlank="1" showInputMessage="1" showErrorMessage="1" error="Please press CANCEL and select entry from dropdown box." sqref="E18">
      <formula1>"0,2500"</formula1>
    </dataValidation>
    <dataValidation type="list" allowBlank="1" showInputMessage="1" showErrorMessage="1" error="Please press CANCEL and select entry from dropdown box." sqref="E25">
      <formula1>"0,6000"</formula1>
    </dataValidation>
  </dataValidations>
  <hyperlinks>
    <hyperlink ref="A19" location="Market!A1" display="Market Sheet"/>
    <hyperlink ref="A21" location="Value!A1" display="Value Sheet"/>
    <hyperlink ref="A6" location="'Development by Block'!A1" display="Development by Block"/>
    <hyperlink ref="A14" location="'Development by Block'!AK2" display="Total Project"/>
    <hyperlink ref="A15" location="'Development by Block'!AL2" display="Land Area"/>
    <hyperlink ref="A7" location="'Development by Block'!C2" display="'Development by Block'!C2"/>
    <hyperlink ref="A4" location="'Color Code'!A1" display="Color Code"/>
    <hyperlink ref="A9" location="'Development by Block'!J2" display="Block 2"/>
    <hyperlink ref="A10" location="'Development by Block'!N2" display="Block 3"/>
    <hyperlink ref="A11" location="'Development by Block'!R2" display="Block 4"/>
    <hyperlink ref="A12" location="'Development by Block'!V2" display="Block 5"/>
    <hyperlink ref="A13" location="'Development by Block'!Z2" display="Block 6"/>
    <hyperlink ref="A8" location="'Development by Block'!F2" display="Block 1"/>
  </hyperlinks>
  <printOptions horizontalCentered="1"/>
  <pageMargins left="0.25" right="0.25" top="0.5" bottom="0.5" header="0.3" footer="0.3"/>
  <pageSetup scale="70" orientation="landscape" r:id="rId1"/>
  <ignoredErrors>
    <ignoredError sqref="C31:G31"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21" id="{F5BB73A0-15C4-4E31-BA51-B30EAE4B629D}">
            <xm:f>'Development by Block'!$K$17=0</xm:f>
            <x14:dxf>
              <fill>
                <patternFill>
                  <bgColor theme="0" tint="-0.14996795556505021"/>
                </patternFill>
              </fill>
            </x14:dxf>
          </x14:cfRule>
          <xm:sqref>E13:H13</xm:sqref>
        </x14:conditionalFormatting>
        <x14:conditionalFormatting xmlns:xm="http://schemas.microsoft.com/office/excel/2006/main">
          <x14:cfRule type="expression" priority="14" id="{CA142533-945D-4FDC-A968-4C6B831FBC1A}">
            <xm:f>'Development by Block'!$K$17=0</xm:f>
            <x14:dxf>
              <fill>
                <patternFill>
                  <bgColor theme="0" tint="-0.14996795556505021"/>
                </patternFill>
              </fill>
            </x14:dxf>
          </x14:cfRule>
          <xm:sqref>C13</xm:sqref>
        </x14:conditionalFormatting>
        <x14:conditionalFormatting xmlns:xm="http://schemas.microsoft.com/office/excel/2006/main">
          <x14:cfRule type="expression" priority="13" id="{0CD4C40D-365E-4224-A89F-72288A71760C}">
            <xm:f>'Development by Block'!$K$17=0</xm:f>
            <x14:dxf>
              <fill>
                <patternFill>
                  <bgColor theme="0" tint="-0.14996795556505021"/>
                </patternFill>
              </fill>
            </x14:dxf>
          </x14:cfRule>
          <xm:sqref>D13</xm:sqref>
        </x14:conditionalFormatting>
        <x14:conditionalFormatting xmlns:xm="http://schemas.microsoft.com/office/excel/2006/main">
          <x14:cfRule type="expression" priority="2" id="{6E62F841-36C7-48C5-B7B6-752F15D5A85F}">
            <xm:f>'Development by Block'!$R$19=0</xm:f>
            <x14:dxf>
              <fill>
                <patternFill>
                  <bgColor theme="0" tint="-0.14996795556505021"/>
                </patternFill>
              </fill>
            </x14:dxf>
          </x14:cfRule>
          <xm:sqref>D34</xm:sqref>
        </x14:conditionalFormatting>
        <x14:conditionalFormatting xmlns:xm="http://schemas.microsoft.com/office/excel/2006/main">
          <x14:cfRule type="expression" priority="1" id="{CE9C3BCC-DA3C-447A-8540-C32921DA8418}">
            <xm:f>'Development by Block'!$R$19=0</xm:f>
            <x14:dxf>
              <fill>
                <patternFill>
                  <bgColor theme="0" tint="-0.14996795556505021"/>
                </patternFill>
              </fill>
            </x14:dxf>
          </x14:cfRule>
          <xm:sqref>E35:E36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6310A"/>
    <pageSetUpPr fitToPage="1"/>
  </sheetPr>
  <dimension ref="A1:WVR71"/>
  <sheetViews>
    <sheetView showGridLines="0" topLeftCell="A18" zoomScaleNormal="100" zoomScaleSheetLayoutView="100" workbookViewId="0"/>
  </sheetViews>
  <sheetFormatPr defaultColWidth="0" defaultRowHeight="12.75" zeroHeight="1" x14ac:dyDescent="0.2"/>
  <cols>
    <col min="1" max="1" width="5.7109375" style="536" customWidth="1"/>
    <col min="2" max="2" width="49.140625" style="536" customWidth="1"/>
    <col min="3" max="4" width="16.7109375" style="536" customWidth="1"/>
    <col min="5" max="5" width="2.7109375" style="536" bestFit="1" customWidth="1"/>
    <col min="6" max="6" width="16.7109375" style="536" customWidth="1"/>
    <col min="7" max="7" width="2.85546875" style="536" bestFit="1" customWidth="1"/>
    <col min="8" max="8" width="12.7109375" style="536" customWidth="1"/>
    <col min="9" max="9" width="2.140625" style="536" bestFit="1" customWidth="1"/>
    <col min="10" max="10" width="16.7109375" style="536" customWidth="1"/>
    <col min="11" max="11" width="5.7109375" style="536" customWidth="1"/>
    <col min="12" max="12" width="8" style="536" hidden="1"/>
    <col min="13" max="255" width="9.140625" style="536" hidden="1"/>
    <col min="256" max="256" width="5.28515625" style="536" hidden="1"/>
    <col min="257" max="257" width="47.5703125" style="536" hidden="1"/>
    <col min="258" max="258" width="13.28515625" style="536" hidden="1"/>
    <col min="259" max="259" width="16.85546875" style="536" hidden="1"/>
    <col min="260" max="260" width="2.7109375" style="536" hidden="1"/>
    <col min="261" max="261" width="16.140625" style="536" hidden="1"/>
    <col min="262" max="262" width="2.85546875" style="536" hidden="1"/>
    <col min="263" max="263" width="10.28515625" style="536" hidden="1"/>
    <col min="264" max="264" width="2.140625" style="536" hidden="1"/>
    <col min="265" max="265" width="15.85546875" style="536" hidden="1"/>
    <col min="266" max="266" width="15.5703125" style="536" hidden="1"/>
    <col min="267" max="511" width="9.140625" style="536" hidden="1"/>
    <col min="512" max="512" width="5.28515625" style="536" hidden="1"/>
    <col min="513" max="513" width="47.5703125" style="536" hidden="1"/>
    <col min="514" max="514" width="13.28515625" style="536" hidden="1"/>
    <col min="515" max="515" width="16.85546875" style="536" hidden="1"/>
    <col min="516" max="516" width="2.7109375" style="536" hidden="1"/>
    <col min="517" max="517" width="16.140625" style="536" hidden="1"/>
    <col min="518" max="518" width="2.85546875" style="536" hidden="1"/>
    <col min="519" max="519" width="10.28515625" style="536" hidden="1"/>
    <col min="520" max="520" width="2.140625" style="536" hidden="1"/>
    <col min="521" max="521" width="15.85546875" style="536" hidden="1"/>
    <col min="522" max="522" width="15.5703125" style="536" hidden="1"/>
    <col min="523" max="767" width="9.140625" style="536" hidden="1"/>
    <col min="768" max="768" width="5.28515625" style="536" hidden="1"/>
    <col min="769" max="769" width="47.5703125" style="536" hidden="1"/>
    <col min="770" max="770" width="13.28515625" style="536" hidden="1"/>
    <col min="771" max="771" width="16.85546875" style="536" hidden="1"/>
    <col min="772" max="772" width="2.7109375" style="536" hidden="1"/>
    <col min="773" max="773" width="16.140625" style="536" hidden="1"/>
    <col min="774" max="774" width="2.85546875" style="536" hidden="1"/>
    <col min="775" max="775" width="10.28515625" style="536" hidden="1"/>
    <col min="776" max="776" width="2.140625" style="536" hidden="1"/>
    <col min="777" max="777" width="15.85546875" style="536" hidden="1"/>
    <col min="778" max="778" width="15.5703125" style="536" hidden="1"/>
    <col min="779" max="1023" width="9.140625" style="536" hidden="1"/>
    <col min="1024" max="1024" width="5.28515625" style="536" hidden="1"/>
    <col min="1025" max="1025" width="47.5703125" style="536" hidden="1"/>
    <col min="1026" max="1026" width="13.28515625" style="536" hidden="1"/>
    <col min="1027" max="1027" width="16.85546875" style="536" hidden="1"/>
    <col min="1028" max="1028" width="2.7109375" style="536" hidden="1"/>
    <col min="1029" max="1029" width="16.140625" style="536" hidden="1"/>
    <col min="1030" max="1030" width="2.85546875" style="536" hidden="1"/>
    <col min="1031" max="1031" width="10.28515625" style="536" hidden="1"/>
    <col min="1032" max="1032" width="2.140625" style="536" hidden="1"/>
    <col min="1033" max="1033" width="15.85546875" style="536" hidden="1"/>
    <col min="1034" max="1034" width="15.5703125" style="536" hidden="1"/>
    <col min="1035" max="1279" width="9.140625" style="536" hidden="1"/>
    <col min="1280" max="1280" width="5.28515625" style="536" hidden="1"/>
    <col min="1281" max="1281" width="47.5703125" style="536" hidden="1"/>
    <col min="1282" max="1282" width="13.28515625" style="536" hidden="1"/>
    <col min="1283" max="1283" width="16.85546875" style="536" hidden="1"/>
    <col min="1284" max="1284" width="2.7109375" style="536" hidden="1"/>
    <col min="1285" max="1285" width="16.140625" style="536" hidden="1"/>
    <col min="1286" max="1286" width="2.85546875" style="536" hidden="1"/>
    <col min="1287" max="1287" width="10.28515625" style="536" hidden="1"/>
    <col min="1288" max="1288" width="2.140625" style="536" hidden="1"/>
    <col min="1289" max="1289" width="15.85546875" style="536" hidden="1"/>
    <col min="1290" max="1290" width="15.5703125" style="536" hidden="1"/>
    <col min="1291" max="1535" width="9.140625" style="536" hidden="1"/>
    <col min="1536" max="1536" width="5.28515625" style="536" hidden="1"/>
    <col min="1537" max="1537" width="47.5703125" style="536" hidden="1"/>
    <col min="1538" max="1538" width="13.28515625" style="536" hidden="1"/>
    <col min="1539" max="1539" width="16.85546875" style="536" hidden="1"/>
    <col min="1540" max="1540" width="2.7109375" style="536" hidden="1"/>
    <col min="1541" max="1541" width="16.140625" style="536" hidden="1"/>
    <col min="1542" max="1542" width="2.85546875" style="536" hidden="1"/>
    <col min="1543" max="1543" width="10.28515625" style="536" hidden="1"/>
    <col min="1544" max="1544" width="2.140625" style="536" hidden="1"/>
    <col min="1545" max="1545" width="15.85546875" style="536" hidden="1"/>
    <col min="1546" max="1546" width="15.5703125" style="536" hidden="1"/>
    <col min="1547" max="1791" width="9.140625" style="536" hidden="1"/>
    <col min="1792" max="1792" width="5.28515625" style="536" hidden="1"/>
    <col min="1793" max="1793" width="47.5703125" style="536" hidden="1"/>
    <col min="1794" max="1794" width="13.28515625" style="536" hidden="1"/>
    <col min="1795" max="1795" width="16.85546875" style="536" hidden="1"/>
    <col min="1796" max="1796" width="2.7109375" style="536" hidden="1"/>
    <col min="1797" max="1797" width="16.140625" style="536" hidden="1"/>
    <col min="1798" max="1798" width="2.85546875" style="536" hidden="1"/>
    <col min="1799" max="1799" width="10.28515625" style="536" hidden="1"/>
    <col min="1800" max="1800" width="2.140625" style="536" hidden="1"/>
    <col min="1801" max="1801" width="15.85546875" style="536" hidden="1"/>
    <col min="1802" max="1802" width="15.5703125" style="536" hidden="1"/>
    <col min="1803" max="2047" width="9.140625" style="536" hidden="1"/>
    <col min="2048" max="2048" width="5.28515625" style="536" hidden="1"/>
    <col min="2049" max="2049" width="47.5703125" style="536" hidden="1"/>
    <col min="2050" max="2050" width="13.28515625" style="536" hidden="1"/>
    <col min="2051" max="2051" width="16.85546875" style="536" hidden="1"/>
    <col min="2052" max="2052" width="2.7109375" style="536" hidden="1"/>
    <col min="2053" max="2053" width="16.140625" style="536" hidden="1"/>
    <col min="2054" max="2054" width="2.85546875" style="536" hidden="1"/>
    <col min="2055" max="2055" width="10.28515625" style="536" hidden="1"/>
    <col min="2056" max="2056" width="2.140625" style="536" hidden="1"/>
    <col min="2057" max="2057" width="15.85546875" style="536" hidden="1"/>
    <col min="2058" max="2058" width="15.5703125" style="536" hidden="1"/>
    <col min="2059" max="2303" width="9.140625" style="536" hidden="1"/>
    <col min="2304" max="2304" width="5.28515625" style="536" hidden="1"/>
    <col min="2305" max="2305" width="47.5703125" style="536" hidden="1"/>
    <col min="2306" max="2306" width="13.28515625" style="536" hidden="1"/>
    <col min="2307" max="2307" width="16.85546875" style="536" hidden="1"/>
    <col min="2308" max="2308" width="2.7109375" style="536" hidden="1"/>
    <col min="2309" max="2309" width="16.140625" style="536" hidden="1"/>
    <col min="2310" max="2310" width="2.85546875" style="536" hidden="1"/>
    <col min="2311" max="2311" width="10.28515625" style="536" hidden="1"/>
    <col min="2312" max="2312" width="2.140625" style="536" hidden="1"/>
    <col min="2313" max="2313" width="15.85546875" style="536" hidden="1"/>
    <col min="2314" max="2314" width="15.5703125" style="536" hidden="1"/>
    <col min="2315" max="2559" width="9.140625" style="536" hidden="1"/>
    <col min="2560" max="2560" width="5.28515625" style="536" hidden="1"/>
    <col min="2561" max="2561" width="47.5703125" style="536" hidden="1"/>
    <col min="2562" max="2562" width="13.28515625" style="536" hidden="1"/>
    <col min="2563" max="2563" width="16.85546875" style="536" hidden="1"/>
    <col min="2564" max="2564" width="2.7109375" style="536" hidden="1"/>
    <col min="2565" max="2565" width="16.140625" style="536" hidden="1"/>
    <col min="2566" max="2566" width="2.85546875" style="536" hidden="1"/>
    <col min="2567" max="2567" width="10.28515625" style="536" hidden="1"/>
    <col min="2568" max="2568" width="2.140625" style="536" hidden="1"/>
    <col min="2569" max="2569" width="15.85546875" style="536" hidden="1"/>
    <col min="2570" max="2570" width="15.5703125" style="536" hidden="1"/>
    <col min="2571" max="2815" width="9.140625" style="536" hidden="1"/>
    <col min="2816" max="2816" width="5.28515625" style="536" hidden="1"/>
    <col min="2817" max="2817" width="47.5703125" style="536" hidden="1"/>
    <col min="2818" max="2818" width="13.28515625" style="536" hidden="1"/>
    <col min="2819" max="2819" width="16.85546875" style="536" hidden="1"/>
    <col min="2820" max="2820" width="2.7109375" style="536" hidden="1"/>
    <col min="2821" max="2821" width="16.140625" style="536" hidden="1"/>
    <col min="2822" max="2822" width="2.85546875" style="536" hidden="1"/>
    <col min="2823" max="2823" width="10.28515625" style="536" hidden="1"/>
    <col min="2824" max="2824" width="2.140625" style="536" hidden="1"/>
    <col min="2825" max="2825" width="15.85546875" style="536" hidden="1"/>
    <col min="2826" max="2826" width="15.5703125" style="536" hidden="1"/>
    <col min="2827" max="3071" width="9.140625" style="536" hidden="1"/>
    <col min="3072" max="3072" width="5.28515625" style="536" hidden="1"/>
    <col min="3073" max="3073" width="47.5703125" style="536" hidden="1"/>
    <col min="3074" max="3074" width="13.28515625" style="536" hidden="1"/>
    <col min="3075" max="3075" width="16.85546875" style="536" hidden="1"/>
    <col min="3076" max="3076" width="2.7109375" style="536" hidden="1"/>
    <col min="3077" max="3077" width="16.140625" style="536" hidden="1"/>
    <col min="3078" max="3078" width="2.85546875" style="536" hidden="1"/>
    <col min="3079" max="3079" width="10.28515625" style="536" hidden="1"/>
    <col min="3080" max="3080" width="2.140625" style="536" hidden="1"/>
    <col min="3081" max="3081" width="15.85546875" style="536" hidden="1"/>
    <col min="3082" max="3082" width="15.5703125" style="536" hidden="1"/>
    <col min="3083" max="3327" width="9.140625" style="536" hidden="1"/>
    <col min="3328" max="3328" width="5.28515625" style="536" hidden="1"/>
    <col min="3329" max="3329" width="47.5703125" style="536" hidden="1"/>
    <col min="3330" max="3330" width="13.28515625" style="536" hidden="1"/>
    <col min="3331" max="3331" width="16.85546875" style="536" hidden="1"/>
    <col min="3332" max="3332" width="2.7109375" style="536" hidden="1"/>
    <col min="3333" max="3333" width="16.140625" style="536" hidden="1"/>
    <col min="3334" max="3334" width="2.85546875" style="536" hidden="1"/>
    <col min="3335" max="3335" width="10.28515625" style="536" hidden="1"/>
    <col min="3336" max="3336" width="2.140625" style="536" hidden="1"/>
    <col min="3337" max="3337" width="15.85546875" style="536" hidden="1"/>
    <col min="3338" max="3338" width="15.5703125" style="536" hidden="1"/>
    <col min="3339" max="3583" width="9.140625" style="536" hidden="1"/>
    <col min="3584" max="3584" width="5.28515625" style="536" hidden="1"/>
    <col min="3585" max="3585" width="47.5703125" style="536" hidden="1"/>
    <col min="3586" max="3586" width="13.28515625" style="536" hidden="1"/>
    <col min="3587" max="3587" width="16.85546875" style="536" hidden="1"/>
    <col min="3588" max="3588" width="2.7109375" style="536" hidden="1"/>
    <col min="3589" max="3589" width="16.140625" style="536" hidden="1"/>
    <col min="3590" max="3590" width="2.85546875" style="536" hidden="1"/>
    <col min="3591" max="3591" width="10.28515625" style="536" hidden="1"/>
    <col min="3592" max="3592" width="2.140625" style="536" hidden="1"/>
    <col min="3593" max="3593" width="15.85546875" style="536" hidden="1"/>
    <col min="3594" max="3594" width="15.5703125" style="536" hidden="1"/>
    <col min="3595" max="3839" width="9.140625" style="536" hidden="1"/>
    <col min="3840" max="3840" width="5.28515625" style="536" hidden="1"/>
    <col min="3841" max="3841" width="47.5703125" style="536" hidden="1"/>
    <col min="3842" max="3842" width="13.28515625" style="536" hidden="1"/>
    <col min="3843" max="3843" width="16.85546875" style="536" hidden="1"/>
    <col min="3844" max="3844" width="2.7109375" style="536" hidden="1"/>
    <col min="3845" max="3845" width="16.140625" style="536" hidden="1"/>
    <col min="3846" max="3846" width="2.85546875" style="536" hidden="1"/>
    <col min="3847" max="3847" width="10.28515625" style="536" hidden="1"/>
    <col min="3848" max="3848" width="2.140625" style="536" hidden="1"/>
    <col min="3849" max="3849" width="15.85546875" style="536" hidden="1"/>
    <col min="3850" max="3850" width="15.5703125" style="536" hidden="1"/>
    <col min="3851" max="4095" width="9.140625" style="536" hidden="1"/>
    <col min="4096" max="4096" width="5.28515625" style="536" hidden="1"/>
    <col min="4097" max="4097" width="47.5703125" style="536" hidden="1"/>
    <col min="4098" max="4098" width="13.28515625" style="536" hidden="1"/>
    <col min="4099" max="4099" width="16.85546875" style="536" hidden="1"/>
    <col min="4100" max="4100" width="2.7109375" style="536" hidden="1"/>
    <col min="4101" max="4101" width="16.140625" style="536" hidden="1"/>
    <col min="4102" max="4102" width="2.85546875" style="536" hidden="1"/>
    <col min="4103" max="4103" width="10.28515625" style="536" hidden="1"/>
    <col min="4104" max="4104" width="2.140625" style="536" hidden="1"/>
    <col min="4105" max="4105" width="15.85546875" style="536" hidden="1"/>
    <col min="4106" max="4106" width="15.5703125" style="536" hidden="1"/>
    <col min="4107" max="4351" width="9.140625" style="536" hidden="1"/>
    <col min="4352" max="4352" width="5.28515625" style="536" hidden="1"/>
    <col min="4353" max="4353" width="47.5703125" style="536" hidden="1"/>
    <col min="4354" max="4354" width="13.28515625" style="536" hidden="1"/>
    <col min="4355" max="4355" width="16.85546875" style="536" hidden="1"/>
    <col min="4356" max="4356" width="2.7109375" style="536" hidden="1"/>
    <col min="4357" max="4357" width="16.140625" style="536" hidden="1"/>
    <col min="4358" max="4358" width="2.85546875" style="536" hidden="1"/>
    <col min="4359" max="4359" width="10.28515625" style="536" hidden="1"/>
    <col min="4360" max="4360" width="2.140625" style="536" hidden="1"/>
    <col min="4361" max="4361" width="15.85546875" style="536" hidden="1"/>
    <col min="4362" max="4362" width="15.5703125" style="536" hidden="1"/>
    <col min="4363" max="4607" width="9.140625" style="536" hidden="1"/>
    <col min="4608" max="4608" width="5.28515625" style="536" hidden="1"/>
    <col min="4609" max="4609" width="47.5703125" style="536" hidden="1"/>
    <col min="4610" max="4610" width="13.28515625" style="536" hidden="1"/>
    <col min="4611" max="4611" width="16.85546875" style="536" hidden="1"/>
    <col min="4612" max="4612" width="2.7109375" style="536" hidden="1"/>
    <col min="4613" max="4613" width="16.140625" style="536" hidden="1"/>
    <col min="4614" max="4614" width="2.85546875" style="536" hidden="1"/>
    <col min="4615" max="4615" width="10.28515625" style="536" hidden="1"/>
    <col min="4616" max="4616" width="2.140625" style="536" hidden="1"/>
    <col min="4617" max="4617" width="15.85546875" style="536" hidden="1"/>
    <col min="4618" max="4618" width="15.5703125" style="536" hidden="1"/>
    <col min="4619" max="4863" width="9.140625" style="536" hidden="1"/>
    <col min="4864" max="4864" width="5.28515625" style="536" hidden="1"/>
    <col min="4865" max="4865" width="47.5703125" style="536" hidden="1"/>
    <col min="4866" max="4866" width="13.28515625" style="536" hidden="1"/>
    <col min="4867" max="4867" width="16.85546875" style="536" hidden="1"/>
    <col min="4868" max="4868" width="2.7109375" style="536" hidden="1"/>
    <col min="4869" max="4869" width="16.140625" style="536" hidden="1"/>
    <col min="4870" max="4870" width="2.85546875" style="536" hidden="1"/>
    <col min="4871" max="4871" width="10.28515625" style="536" hidden="1"/>
    <col min="4872" max="4872" width="2.140625" style="536" hidden="1"/>
    <col min="4873" max="4873" width="15.85546875" style="536" hidden="1"/>
    <col min="4874" max="4874" width="15.5703125" style="536" hidden="1"/>
    <col min="4875" max="5119" width="9.140625" style="536" hidden="1"/>
    <col min="5120" max="5120" width="5.28515625" style="536" hidden="1"/>
    <col min="5121" max="5121" width="47.5703125" style="536" hidden="1"/>
    <col min="5122" max="5122" width="13.28515625" style="536" hidden="1"/>
    <col min="5123" max="5123" width="16.85546875" style="536" hidden="1"/>
    <col min="5124" max="5124" width="2.7109375" style="536" hidden="1"/>
    <col min="5125" max="5125" width="16.140625" style="536" hidden="1"/>
    <col min="5126" max="5126" width="2.85546875" style="536" hidden="1"/>
    <col min="5127" max="5127" width="10.28515625" style="536" hidden="1"/>
    <col min="5128" max="5128" width="2.140625" style="536" hidden="1"/>
    <col min="5129" max="5129" width="15.85546875" style="536" hidden="1"/>
    <col min="5130" max="5130" width="15.5703125" style="536" hidden="1"/>
    <col min="5131" max="5375" width="9.140625" style="536" hidden="1"/>
    <col min="5376" max="5376" width="5.28515625" style="536" hidden="1"/>
    <col min="5377" max="5377" width="47.5703125" style="536" hidden="1"/>
    <col min="5378" max="5378" width="13.28515625" style="536" hidden="1"/>
    <col min="5379" max="5379" width="16.85546875" style="536" hidden="1"/>
    <col min="5380" max="5380" width="2.7109375" style="536" hidden="1"/>
    <col min="5381" max="5381" width="16.140625" style="536" hidden="1"/>
    <col min="5382" max="5382" width="2.85546875" style="536" hidden="1"/>
    <col min="5383" max="5383" width="10.28515625" style="536" hidden="1"/>
    <col min="5384" max="5384" width="2.140625" style="536" hidden="1"/>
    <col min="5385" max="5385" width="15.85546875" style="536" hidden="1"/>
    <col min="5386" max="5386" width="15.5703125" style="536" hidden="1"/>
    <col min="5387" max="5631" width="9.140625" style="536" hidden="1"/>
    <col min="5632" max="5632" width="5.28515625" style="536" hidden="1"/>
    <col min="5633" max="5633" width="47.5703125" style="536" hidden="1"/>
    <col min="5634" max="5634" width="13.28515625" style="536" hidden="1"/>
    <col min="5635" max="5635" width="16.85546875" style="536" hidden="1"/>
    <col min="5636" max="5636" width="2.7109375" style="536" hidden="1"/>
    <col min="5637" max="5637" width="16.140625" style="536" hidden="1"/>
    <col min="5638" max="5638" width="2.85546875" style="536" hidden="1"/>
    <col min="5639" max="5639" width="10.28515625" style="536" hidden="1"/>
    <col min="5640" max="5640" width="2.140625" style="536" hidden="1"/>
    <col min="5641" max="5641" width="15.85546875" style="536" hidden="1"/>
    <col min="5642" max="5642" width="15.5703125" style="536" hidden="1"/>
    <col min="5643" max="5887" width="9.140625" style="536" hidden="1"/>
    <col min="5888" max="5888" width="5.28515625" style="536" hidden="1"/>
    <col min="5889" max="5889" width="47.5703125" style="536" hidden="1"/>
    <col min="5890" max="5890" width="13.28515625" style="536" hidden="1"/>
    <col min="5891" max="5891" width="16.85546875" style="536" hidden="1"/>
    <col min="5892" max="5892" width="2.7109375" style="536" hidden="1"/>
    <col min="5893" max="5893" width="16.140625" style="536" hidden="1"/>
    <col min="5894" max="5894" width="2.85546875" style="536" hidden="1"/>
    <col min="5895" max="5895" width="10.28515625" style="536" hidden="1"/>
    <col min="5896" max="5896" width="2.140625" style="536" hidden="1"/>
    <col min="5897" max="5897" width="15.85546875" style="536" hidden="1"/>
    <col min="5898" max="5898" width="15.5703125" style="536" hidden="1"/>
    <col min="5899" max="6143" width="9.140625" style="536" hidden="1"/>
    <col min="6144" max="6144" width="5.28515625" style="536" hidden="1"/>
    <col min="6145" max="6145" width="47.5703125" style="536" hidden="1"/>
    <col min="6146" max="6146" width="13.28515625" style="536" hidden="1"/>
    <col min="6147" max="6147" width="16.85546875" style="536" hidden="1"/>
    <col min="6148" max="6148" width="2.7109375" style="536" hidden="1"/>
    <col min="6149" max="6149" width="16.140625" style="536" hidden="1"/>
    <col min="6150" max="6150" width="2.85546875" style="536" hidden="1"/>
    <col min="6151" max="6151" width="10.28515625" style="536" hidden="1"/>
    <col min="6152" max="6152" width="2.140625" style="536" hidden="1"/>
    <col min="6153" max="6153" width="15.85546875" style="536" hidden="1"/>
    <col min="6154" max="6154" width="15.5703125" style="536" hidden="1"/>
    <col min="6155" max="6399" width="9.140625" style="536" hidden="1"/>
    <col min="6400" max="6400" width="5.28515625" style="536" hidden="1"/>
    <col min="6401" max="6401" width="47.5703125" style="536" hidden="1"/>
    <col min="6402" max="6402" width="13.28515625" style="536" hidden="1"/>
    <col min="6403" max="6403" width="16.85546875" style="536" hidden="1"/>
    <col min="6404" max="6404" width="2.7109375" style="536" hidden="1"/>
    <col min="6405" max="6405" width="16.140625" style="536" hidden="1"/>
    <col min="6406" max="6406" width="2.85546875" style="536" hidden="1"/>
    <col min="6407" max="6407" width="10.28515625" style="536" hidden="1"/>
    <col min="6408" max="6408" width="2.140625" style="536" hidden="1"/>
    <col min="6409" max="6409" width="15.85546875" style="536" hidden="1"/>
    <col min="6410" max="6410" width="15.5703125" style="536" hidden="1"/>
    <col min="6411" max="6655" width="9.140625" style="536" hidden="1"/>
    <col min="6656" max="6656" width="5.28515625" style="536" hidden="1"/>
    <col min="6657" max="6657" width="47.5703125" style="536" hidden="1"/>
    <col min="6658" max="6658" width="13.28515625" style="536" hidden="1"/>
    <col min="6659" max="6659" width="16.85546875" style="536" hidden="1"/>
    <col min="6660" max="6660" width="2.7109375" style="536" hidden="1"/>
    <col min="6661" max="6661" width="16.140625" style="536" hidden="1"/>
    <col min="6662" max="6662" width="2.85546875" style="536" hidden="1"/>
    <col min="6663" max="6663" width="10.28515625" style="536" hidden="1"/>
    <col min="6664" max="6664" width="2.140625" style="536" hidden="1"/>
    <col min="6665" max="6665" width="15.85546875" style="536" hidden="1"/>
    <col min="6666" max="6666" width="15.5703125" style="536" hidden="1"/>
    <col min="6667" max="6911" width="9.140625" style="536" hidden="1"/>
    <col min="6912" max="6912" width="5.28515625" style="536" hidden="1"/>
    <col min="6913" max="6913" width="47.5703125" style="536" hidden="1"/>
    <col min="6914" max="6914" width="13.28515625" style="536" hidden="1"/>
    <col min="6915" max="6915" width="16.85546875" style="536" hidden="1"/>
    <col min="6916" max="6916" width="2.7109375" style="536" hidden="1"/>
    <col min="6917" max="6917" width="16.140625" style="536" hidden="1"/>
    <col min="6918" max="6918" width="2.85546875" style="536" hidden="1"/>
    <col min="6919" max="6919" width="10.28515625" style="536" hidden="1"/>
    <col min="6920" max="6920" width="2.140625" style="536" hidden="1"/>
    <col min="6921" max="6921" width="15.85546875" style="536" hidden="1"/>
    <col min="6922" max="6922" width="15.5703125" style="536" hidden="1"/>
    <col min="6923" max="7167" width="9.140625" style="536" hidden="1"/>
    <col min="7168" max="7168" width="5.28515625" style="536" hidden="1"/>
    <col min="7169" max="7169" width="47.5703125" style="536" hidden="1"/>
    <col min="7170" max="7170" width="13.28515625" style="536" hidden="1"/>
    <col min="7171" max="7171" width="16.85546875" style="536" hidden="1"/>
    <col min="7172" max="7172" width="2.7109375" style="536" hidden="1"/>
    <col min="7173" max="7173" width="16.140625" style="536" hidden="1"/>
    <col min="7174" max="7174" width="2.85546875" style="536" hidden="1"/>
    <col min="7175" max="7175" width="10.28515625" style="536" hidden="1"/>
    <col min="7176" max="7176" width="2.140625" style="536" hidden="1"/>
    <col min="7177" max="7177" width="15.85546875" style="536" hidden="1"/>
    <col min="7178" max="7178" width="15.5703125" style="536" hidden="1"/>
    <col min="7179" max="7423" width="9.140625" style="536" hidden="1"/>
    <col min="7424" max="7424" width="5.28515625" style="536" hidden="1"/>
    <col min="7425" max="7425" width="47.5703125" style="536" hidden="1"/>
    <col min="7426" max="7426" width="13.28515625" style="536" hidden="1"/>
    <col min="7427" max="7427" width="16.85546875" style="536" hidden="1"/>
    <col min="7428" max="7428" width="2.7109375" style="536" hidden="1"/>
    <col min="7429" max="7429" width="16.140625" style="536" hidden="1"/>
    <col min="7430" max="7430" width="2.85546875" style="536" hidden="1"/>
    <col min="7431" max="7431" width="10.28515625" style="536" hidden="1"/>
    <col min="7432" max="7432" width="2.140625" style="536" hidden="1"/>
    <col min="7433" max="7433" width="15.85546875" style="536" hidden="1"/>
    <col min="7434" max="7434" width="15.5703125" style="536" hidden="1"/>
    <col min="7435" max="7679" width="9.140625" style="536" hidden="1"/>
    <col min="7680" max="7680" width="5.28515625" style="536" hidden="1"/>
    <col min="7681" max="7681" width="47.5703125" style="536" hidden="1"/>
    <col min="7682" max="7682" width="13.28515625" style="536" hidden="1"/>
    <col min="7683" max="7683" width="16.85546875" style="536" hidden="1"/>
    <col min="7684" max="7684" width="2.7109375" style="536" hidden="1"/>
    <col min="7685" max="7685" width="16.140625" style="536" hidden="1"/>
    <col min="7686" max="7686" width="2.85546875" style="536" hidden="1"/>
    <col min="7687" max="7687" width="10.28515625" style="536" hidden="1"/>
    <col min="7688" max="7688" width="2.140625" style="536" hidden="1"/>
    <col min="7689" max="7689" width="15.85546875" style="536" hidden="1"/>
    <col min="7690" max="7690" width="15.5703125" style="536" hidden="1"/>
    <col min="7691" max="7935" width="9.140625" style="536" hidden="1"/>
    <col min="7936" max="7936" width="5.28515625" style="536" hidden="1"/>
    <col min="7937" max="7937" width="47.5703125" style="536" hidden="1"/>
    <col min="7938" max="7938" width="13.28515625" style="536" hidden="1"/>
    <col min="7939" max="7939" width="16.85546875" style="536" hidden="1"/>
    <col min="7940" max="7940" width="2.7109375" style="536" hidden="1"/>
    <col min="7941" max="7941" width="16.140625" style="536" hidden="1"/>
    <col min="7942" max="7942" width="2.85546875" style="536" hidden="1"/>
    <col min="7943" max="7943" width="10.28515625" style="536" hidden="1"/>
    <col min="7944" max="7944" width="2.140625" style="536" hidden="1"/>
    <col min="7945" max="7945" width="15.85546875" style="536" hidden="1"/>
    <col min="7946" max="7946" width="15.5703125" style="536" hidden="1"/>
    <col min="7947" max="8191" width="9.140625" style="536" hidden="1"/>
    <col min="8192" max="8192" width="5.28515625" style="536" hidden="1"/>
    <col min="8193" max="8193" width="47.5703125" style="536" hidden="1"/>
    <col min="8194" max="8194" width="13.28515625" style="536" hidden="1"/>
    <col min="8195" max="8195" width="16.85546875" style="536" hidden="1"/>
    <col min="8196" max="8196" width="2.7109375" style="536" hidden="1"/>
    <col min="8197" max="8197" width="16.140625" style="536" hidden="1"/>
    <col min="8198" max="8198" width="2.85546875" style="536" hidden="1"/>
    <col min="8199" max="8199" width="10.28515625" style="536" hidden="1"/>
    <col min="8200" max="8200" width="2.140625" style="536" hidden="1"/>
    <col min="8201" max="8201" width="15.85546875" style="536" hidden="1"/>
    <col min="8202" max="8202" width="15.5703125" style="536" hidden="1"/>
    <col min="8203" max="8447" width="9.140625" style="536" hidden="1"/>
    <col min="8448" max="8448" width="5.28515625" style="536" hidden="1"/>
    <col min="8449" max="8449" width="47.5703125" style="536" hidden="1"/>
    <col min="8450" max="8450" width="13.28515625" style="536" hidden="1"/>
    <col min="8451" max="8451" width="16.85546875" style="536" hidden="1"/>
    <col min="8452" max="8452" width="2.7109375" style="536" hidden="1"/>
    <col min="8453" max="8453" width="16.140625" style="536" hidden="1"/>
    <col min="8454" max="8454" width="2.85546875" style="536" hidden="1"/>
    <col min="8455" max="8455" width="10.28515625" style="536" hidden="1"/>
    <col min="8456" max="8456" width="2.140625" style="536" hidden="1"/>
    <col min="8457" max="8457" width="15.85546875" style="536" hidden="1"/>
    <col min="8458" max="8458" width="15.5703125" style="536" hidden="1"/>
    <col min="8459" max="8703" width="9.140625" style="536" hidden="1"/>
    <col min="8704" max="8704" width="5.28515625" style="536" hidden="1"/>
    <col min="8705" max="8705" width="47.5703125" style="536" hidden="1"/>
    <col min="8706" max="8706" width="13.28515625" style="536" hidden="1"/>
    <col min="8707" max="8707" width="16.85546875" style="536" hidden="1"/>
    <col min="8708" max="8708" width="2.7109375" style="536" hidden="1"/>
    <col min="8709" max="8709" width="16.140625" style="536" hidden="1"/>
    <col min="8710" max="8710" width="2.85546875" style="536" hidden="1"/>
    <col min="8711" max="8711" width="10.28515625" style="536" hidden="1"/>
    <col min="8712" max="8712" width="2.140625" style="536" hidden="1"/>
    <col min="8713" max="8713" width="15.85546875" style="536" hidden="1"/>
    <col min="8714" max="8714" width="15.5703125" style="536" hidden="1"/>
    <col min="8715" max="8959" width="9.140625" style="536" hidden="1"/>
    <col min="8960" max="8960" width="5.28515625" style="536" hidden="1"/>
    <col min="8961" max="8961" width="47.5703125" style="536" hidden="1"/>
    <col min="8962" max="8962" width="13.28515625" style="536" hidden="1"/>
    <col min="8963" max="8963" width="16.85546875" style="536" hidden="1"/>
    <col min="8964" max="8964" width="2.7109375" style="536" hidden="1"/>
    <col min="8965" max="8965" width="16.140625" style="536" hidden="1"/>
    <col min="8966" max="8966" width="2.85546875" style="536" hidden="1"/>
    <col min="8967" max="8967" width="10.28515625" style="536" hidden="1"/>
    <col min="8968" max="8968" width="2.140625" style="536" hidden="1"/>
    <col min="8969" max="8969" width="15.85546875" style="536" hidden="1"/>
    <col min="8970" max="8970" width="15.5703125" style="536" hidden="1"/>
    <col min="8971" max="9215" width="9.140625" style="536" hidden="1"/>
    <col min="9216" max="9216" width="5.28515625" style="536" hidden="1"/>
    <col min="9217" max="9217" width="47.5703125" style="536" hidden="1"/>
    <col min="9218" max="9218" width="13.28515625" style="536" hidden="1"/>
    <col min="9219" max="9219" width="16.85546875" style="536" hidden="1"/>
    <col min="9220" max="9220" width="2.7109375" style="536" hidden="1"/>
    <col min="9221" max="9221" width="16.140625" style="536" hidden="1"/>
    <col min="9222" max="9222" width="2.85546875" style="536" hidden="1"/>
    <col min="9223" max="9223" width="10.28515625" style="536" hidden="1"/>
    <col min="9224" max="9224" width="2.140625" style="536" hidden="1"/>
    <col min="9225" max="9225" width="15.85546875" style="536" hidden="1"/>
    <col min="9226" max="9226" width="15.5703125" style="536" hidden="1"/>
    <col min="9227" max="9471" width="9.140625" style="536" hidden="1"/>
    <col min="9472" max="9472" width="5.28515625" style="536" hidden="1"/>
    <col min="9473" max="9473" width="47.5703125" style="536" hidden="1"/>
    <col min="9474" max="9474" width="13.28515625" style="536" hidden="1"/>
    <col min="9475" max="9475" width="16.85546875" style="536" hidden="1"/>
    <col min="9476" max="9476" width="2.7109375" style="536" hidden="1"/>
    <col min="9477" max="9477" width="16.140625" style="536" hidden="1"/>
    <col min="9478" max="9478" width="2.85546875" style="536" hidden="1"/>
    <col min="9479" max="9479" width="10.28515625" style="536" hidden="1"/>
    <col min="9480" max="9480" width="2.140625" style="536" hidden="1"/>
    <col min="9481" max="9481" width="15.85546875" style="536" hidden="1"/>
    <col min="9482" max="9482" width="15.5703125" style="536" hidden="1"/>
    <col min="9483" max="9727" width="9.140625" style="536" hidden="1"/>
    <col min="9728" max="9728" width="5.28515625" style="536" hidden="1"/>
    <col min="9729" max="9729" width="47.5703125" style="536" hidden="1"/>
    <col min="9730" max="9730" width="13.28515625" style="536" hidden="1"/>
    <col min="9731" max="9731" width="16.85546875" style="536" hidden="1"/>
    <col min="9732" max="9732" width="2.7109375" style="536" hidden="1"/>
    <col min="9733" max="9733" width="16.140625" style="536" hidden="1"/>
    <col min="9734" max="9734" width="2.85546875" style="536" hidden="1"/>
    <col min="9735" max="9735" width="10.28515625" style="536" hidden="1"/>
    <col min="9736" max="9736" width="2.140625" style="536" hidden="1"/>
    <col min="9737" max="9737" width="15.85546875" style="536" hidden="1"/>
    <col min="9738" max="9738" width="15.5703125" style="536" hidden="1"/>
    <col min="9739" max="9983" width="9.140625" style="536" hidden="1"/>
    <col min="9984" max="9984" width="5.28515625" style="536" hidden="1"/>
    <col min="9985" max="9985" width="47.5703125" style="536" hidden="1"/>
    <col min="9986" max="9986" width="13.28515625" style="536" hidden="1"/>
    <col min="9987" max="9987" width="16.85546875" style="536" hidden="1"/>
    <col min="9988" max="9988" width="2.7109375" style="536" hidden="1"/>
    <col min="9989" max="9989" width="16.140625" style="536" hidden="1"/>
    <col min="9990" max="9990" width="2.85546875" style="536" hidden="1"/>
    <col min="9991" max="9991" width="10.28515625" style="536" hidden="1"/>
    <col min="9992" max="9992" width="2.140625" style="536" hidden="1"/>
    <col min="9993" max="9993" width="15.85546875" style="536" hidden="1"/>
    <col min="9994" max="9994" width="15.5703125" style="536" hidden="1"/>
    <col min="9995" max="10239" width="9.140625" style="536" hidden="1"/>
    <col min="10240" max="10240" width="5.28515625" style="536" hidden="1"/>
    <col min="10241" max="10241" width="47.5703125" style="536" hidden="1"/>
    <col min="10242" max="10242" width="13.28515625" style="536" hidden="1"/>
    <col min="10243" max="10243" width="16.85546875" style="536" hidden="1"/>
    <col min="10244" max="10244" width="2.7109375" style="536" hidden="1"/>
    <col min="10245" max="10245" width="16.140625" style="536" hidden="1"/>
    <col min="10246" max="10246" width="2.85546875" style="536" hidden="1"/>
    <col min="10247" max="10247" width="10.28515625" style="536" hidden="1"/>
    <col min="10248" max="10248" width="2.140625" style="536" hidden="1"/>
    <col min="10249" max="10249" width="15.85546875" style="536" hidden="1"/>
    <col min="10250" max="10250" width="15.5703125" style="536" hidden="1"/>
    <col min="10251" max="10495" width="9.140625" style="536" hidden="1"/>
    <col min="10496" max="10496" width="5.28515625" style="536" hidden="1"/>
    <col min="10497" max="10497" width="47.5703125" style="536" hidden="1"/>
    <col min="10498" max="10498" width="13.28515625" style="536" hidden="1"/>
    <col min="10499" max="10499" width="16.85546875" style="536" hidden="1"/>
    <col min="10500" max="10500" width="2.7109375" style="536" hidden="1"/>
    <col min="10501" max="10501" width="16.140625" style="536" hidden="1"/>
    <col min="10502" max="10502" width="2.85546875" style="536" hidden="1"/>
    <col min="10503" max="10503" width="10.28515625" style="536" hidden="1"/>
    <col min="10504" max="10504" width="2.140625" style="536" hidden="1"/>
    <col min="10505" max="10505" width="15.85546875" style="536" hidden="1"/>
    <col min="10506" max="10506" width="15.5703125" style="536" hidden="1"/>
    <col min="10507" max="10751" width="9.140625" style="536" hidden="1"/>
    <col min="10752" max="10752" width="5.28515625" style="536" hidden="1"/>
    <col min="10753" max="10753" width="47.5703125" style="536" hidden="1"/>
    <col min="10754" max="10754" width="13.28515625" style="536" hidden="1"/>
    <col min="10755" max="10755" width="16.85546875" style="536" hidden="1"/>
    <col min="10756" max="10756" width="2.7109375" style="536" hidden="1"/>
    <col min="10757" max="10757" width="16.140625" style="536" hidden="1"/>
    <col min="10758" max="10758" width="2.85546875" style="536" hidden="1"/>
    <col min="10759" max="10759" width="10.28515625" style="536" hidden="1"/>
    <col min="10760" max="10760" width="2.140625" style="536" hidden="1"/>
    <col min="10761" max="10761" width="15.85546875" style="536" hidden="1"/>
    <col min="10762" max="10762" width="15.5703125" style="536" hidden="1"/>
    <col min="10763" max="11007" width="9.140625" style="536" hidden="1"/>
    <col min="11008" max="11008" width="5.28515625" style="536" hidden="1"/>
    <col min="11009" max="11009" width="47.5703125" style="536" hidden="1"/>
    <col min="11010" max="11010" width="13.28515625" style="536" hidden="1"/>
    <col min="11011" max="11011" width="16.85546875" style="536" hidden="1"/>
    <col min="11012" max="11012" width="2.7109375" style="536" hidden="1"/>
    <col min="11013" max="11013" width="16.140625" style="536" hidden="1"/>
    <col min="11014" max="11014" width="2.85546875" style="536" hidden="1"/>
    <col min="11015" max="11015" width="10.28515625" style="536" hidden="1"/>
    <col min="11016" max="11016" width="2.140625" style="536" hidden="1"/>
    <col min="11017" max="11017" width="15.85546875" style="536" hidden="1"/>
    <col min="11018" max="11018" width="15.5703125" style="536" hidden="1"/>
    <col min="11019" max="11263" width="9.140625" style="536" hidden="1"/>
    <col min="11264" max="11264" width="5.28515625" style="536" hidden="1"/>
    <col min="11265" max="11265" width="47.5703125" style="536" hidden="1"/>
    <col min="11266" max="11266" width="13.28515625" style="536" hidden="1"/>
    <col min="11267" max="11267" width="16.85546875" style="536" hidden="1"/>
    <col min="11268" max="11268" width="2.7109375" style="536" hidden="1"/>
    <col min="11269" max="11269" width="16.140625" style="536" hidden="1"/>
    <col min="11270" max="11270" width="2.85546875" style="536" hidden="1"/>
    <col min="11271" max="11271" width="10.28515625" style="536" hidden="1"/>
    <col min="11272" max="11272" width="2.140625" style="536" hidden="1"/>
    <col min="11273" max="11273" width="15.85546875" style="536" hidden="1"/>
    <col min="11274" max="11274" width="15.5703125" style="536" hidden="1"/>
    <col min="11275" max="11519" width="9.140625" style="536" hidden="1"/>
    <col min="11520" max="11520" width="5.28515625" style="536" hidden="1"/>
    <col min="11521" max="11521" width="47.5703125" style="536" hidden="1"/>
    <col min="11522" max="11522" width="13.28515625" style="536" hidden="1"/>
    <col min="11523" max="11523" width="16.85546875" style="536" hidden="1"/>
    <col min="11524" max="11524" width="2.7109375" style="536" hidden="1"/>
    <col min="11525" max="11525" width="16.140625" style="536" hidden="1"/>
    <col min="11526" max="11526" width="2.85546875" style="536" hidden="1"/>
    <col min="11527" max="11527" width="10.28515625" style="536" hidden="1"/>
    <col min="11528" max="11528" width="2.140625" style="536" hidden="1"/>
    <col min="11529" max="11529" width="15.85546875" style="536" hidden="1"/>
    <col min="11530" max="11530" width="15.5703125" style="536" hidden="1"/>
    <col min="11531" max="11775" width="9.140625" style="536" hidden="1"/>
    <col min="11776" max="11776" width="5.28515625" style="536" hidden="1"/>
    <col min="11777" max="11777" width="47.5703125" style="536" hidden="1"/>
    <col min="11778" max="11778" width="13.28515625" style="536" hidden="1"/>
    <col min="11779" max="11779" width="16.85546875" style="536" hidden="1"/>
    <col min="11780" max="11780" width="2.7109375" style="536" hidden="1"/>
    <col min="11781" max="11781" width="16.140625" style="536" hidden="1"/>
    <col min="11782" max="11782" width="2.85546875" style="536" hidden="1"/>
    <col min="11783" max="11783" width="10.28515625" style="536" hidden="1"/>
    <col min="11784" max="11784" width="2.140625" style="536" hidden="1"/>
    <col min="11785" max="11785" width="15.85546875" style="536" hidden="1"/>
    <col min="11786" max="11786" width="15.5703125" style="536" hidden="1"/>
    <col min="11787" max="12031" width="9.140625" style="536" hidden="1"/>
    <col min="12032" max="12032" width="5.28515625" style="536" hidden="1"/>
    <col min="12033" max="12033" width="47.5703125" style="536" hidden="1"/>
    <col min="12034" max="12034" width="13.28515625" style="536" hidden="1"/>
    <col min="12035" max="12035" width="16.85546875" style="536" hidden="1"/>
    <col min="12036" max="12036" width="2.7109375" style="536" hidden="1"/>
    <col min="12037" max="12037" width="16.140625" style="536" hidden="1"/>
    <col min="12038" max="12038" width="2.85546875" style="536" hidden="1"/>
    <col min="12039" max="12039" width="10.28515625" style="536" hidden="1"/>
    <col min="12040" max="12040" width="2.140625" style="536" hidden="1"/>
    <col min="12041" max="12041" width="15.85546875" style="536" hidden="1"/>
    <col min="12042" max="12042" width="15.5703125" style="536" hidden="1"/>
    <col min="12043" max="12287" width="9.140625" style="536" hidden="1"/>
    <col min="12288" max="12288" width="5.28515625" style="536" hidden="1"/>
    <col min="12289" max="12289" width="47.5703125" style="536" hidden="1"/>
    <col min="12290" max="12290" width="13.28515625" style="536" hidden="1"/>
    <col min="12291" max="12291" width="16.85546875" style="536" hidden="1"/>
    <col min="12292" max="12292" width="2.7109375" style="536" hidden="1"/>
    <col min="12293" max="12293" width="16.140625" style="536" hidden="1"/>
    <col min="12294" max="12294" width="2.85546875" style="536" hidden="1"/>
    <col min="12295" max="12295" width="10.28515625" style="536" hidden="1"/>
    <col min="12296" max="12296" width="2.140625" style="536" hidden="1"/>
    <col min="12297" max="12297" width="15.85546875" style="536" hidden="1"/>
    <col min="12298" max="12298" width="15.5703125" style="536" hidden="1"/>
    <col min="12299" max="12543" width="9.140625" style="536" hidden="1"/>
    <col min="12544" max="12544" width="5.28515625" style="536" hidden="1"/>
    <col min="12545" max="12545" width="47.5703125" style="536" hidden="1"/>
    <col min="12546" max="12546" width="13.28515625" style="536" hidden="1"/>
    <col min="12547" max="12547" width="16.85546875" style="536" hidden="1"/>
    <col min="12548" max="12548" width="2.7109375" style="536" hidden="1"/>
    <col min="12549" max="12549" width="16.140625" style="536" hidden="1"/>
    <col min="12550" max="12550" width="2.85546875" style="536" hidden="1"/>
    <col min="12551" max="12551" width="10.28515625" style="536" hidden="1"/>
    <col min="12552" max="12552" width="2.140625" style="536" hidden="1"/>
    <col min="12553" max="12553" width="15.85546875" style="536" hidden="1"/>
    <col min="12554" max="12554" width="15.5703125" style="536" hidden="1"/>
    <col min="12555" max="12799" width="9.140625" style="536" hidden="1"/>
    <col min="12800" max="12800" width="5.28515625" style="536" hidden="1"/>
    <col min="12801" max="12801" width="47.5703125" style="536" hidden="1"/>
    <col min="12802" max="12802" width="13.28515625" style="536" hidden="1"/>
    <col min="12803" max="12803" width="16.85546875" style="536" hidden="1"/>
    <col min="12804" max="12804" width="2.7109375" style="536" hidden="1"/>
    <col min="12805" max="12805" width="16.140625" style="536" hidden="1"/>
    <col min="12806" max="12806" width="2.85546875" style="536" hidden="1"/>
    <col min="12807" max="12807" width="10.28515625" style="536" hidden="1"/>
    <col min="12808" max="12808" width="2.140625" style="536" hidden="1"/>
    <col min="12809" max="12809" width="15.85546875" style="536" hidden="1"/>
    <col min="12810" max="12810" width="15.5703125" style="536" hidden="1"/>
    <col min="12811" max="13055" width="9.140625" style="536" hidden="1"/>
    <col min="13056" max="13056" width="5.28515625" style="536" hidden="1"/>
    <col min="13057" max="13057" width="47.5703125" style="536" hidden="1"/>
    <col min="13058" max="13058" width="13.28515625" style="536" hidden="1"/>
    <col min="13059" max="13059" width="16.85546875" style="536" hidden="1"/>
    <col min="13060" max="13060" width="2.7109375" style="536" hidden="1"/>
    <col min="13061" max="13061" width="16.140625" style="536" hidden="1"/>
    <col min="13062" max="13062" width="2.85546875" style="536" hidden="1"/>
    <col min="13063" max="13063" width="10.28515625" style="536" hidden="1"/>
    <col min="13064" max="13064" width="2.140625" style="536" hidden="1"/>
    <col min="13065" max="13065" width="15.85546875" style="536" hidden="1"/>
    <col min="13066" max="13066" width="15.5703125" style="536" hidden="1"/>
    <col min="13067" max="13311" width="9.140625" style="536" hidden="1"/>
    <col min="13312" max="13312" width="5.28515625" style="536" hidden="1"/>
    <col min="13313" max="13313" width="47.5703125" style="536" hidden="1"/>
    <col min="13314" max="13314" width="13.28515625" style="536" hidden="1"/>
    <col min="13315" max="13315" width="16.85546875" style="536" hidden="1"/>
    <col min="13316" max="13316" width="2.7109375" style="536" hidden="1"/>
    <col min="13317" max="13317" width="16.140625" style="536" hidden="1"/>
    <col min="13318" max="13318" width="2.85546875" style="536" hidden="1"/>
    <col min="13319" max="13319" width="10.28515625" style="536" hidden="1"/>
    <col min="13320" max="13320" width="2.140625" style="536" hidden="1"/>
    <col min="13321" max="13321" width="15.85546875" style="536" hidden="1"/>
    <col min="13322" max="13322" width="15.5703125" style="536" hidden="1"/>
    <col min="13323" max="13567" width="9.140625" style="536" hidden="1"/>
    <col min="13568" max="13568" width="5.28515625" style="536" hidden="1"/>
    <col min="13569" max="13569" width="47.5703125" style="536" hidden="1"/>
    <col min="13570" max="13570" width="13.28515625" style="536" hidden="1"/>
    <col min="13571" max="13571" width="16.85546875" style="536" hidden="1"/>
    <col min="13572" max="13572" width="2.7109375" style="536" hidden="1"/>
    <col min="13573" max="13573" width="16.140625" style="536" hidden="1"/>
    <col min="13574" max="13574" width="2.85546875" style="536" hidden="1"/>
    <col min="13575" max="13575" width="10.28515625" style="536" hidden="1"/>
    <col min="13576" max="13576" width="2.140625" style="536" hidden="1"/>
    <col min="13577" max="13577" width="15.85546875" style="536" hidden="1"/>
    <col min="13578" max="13578" width="15.5703125" style="536" hidden="1"/>
    <col min="13579" max="13823" width="9.140625" style="536" hidden="1"/>
    <col min="13824" max="13824" width="5.28515625" style="536" hidden="1"/>
    <col min="13825" max="13825" width="47.5703125" style="536" hidden="1"/>
    <col min="13826" max="13826" width="13.28515625" style="536" hidden="1"/>
    <col min="13827" max="13827" width="16.85546875" style="536" hidden="1"/>
    <col min="13828" max="13828" width="2.7109375" style="536" hidden="1"/>
    <col min="13829" max="13829" width="16.140625" style="536" hidden="1"/>
    <col min="13830" max="13830" width="2.85546875" style="536" hidden="1"/>
    <col min="13831" max="13831" width="10.28515625" style="536" hidden="1"/>
    <col min="13832" max="13832" width="2.140625" style="536" hidden="1"/>
    <col min="13833" max="13833" width="15.85546875" style="536" hidden="1"/>
    <col min="13834" max="13834" width="15.5703125" style="536" hidden="1"/>
    <col min="13835" max="14079" width="9.140625" style="536" hidden="1"/>
    <col min="14080" max="14080" width="5.28515625" style="536" hidden="1"/>
    <col min="14081" max="14081" width="47.5703125" style="536" hidden="1"/>
    <col min="14082" max="14082" width="13.28515625" style="536" hidden="1"/>
    <col min="14083" max="14083" width="16.85546875" style="536" hidden="1"/>
    <col min="14084" max="14084" width="2.7109375" style="536" hidden="1"/>
    <col min="14085" max="14085" width="16.140625" style="536" hidden="1"/>
    <col min="14086" max="14086" width="2.85546875" style="536" hidden="1"/>
    <col min="14087" max="14087" width="10.28515625" style="536" hidden="1"/>
    <col min="14088" max="14088" width="2.140625" style="536" hidden="1"/>
    <col min="14089" max="14089" width="15.85546875" style="536" hidden="1"/>
    <col min="14090" max="14090" width="15.5703125" style="536" hidden="1"/>
    <col min="14091" max="14335" width="9.140625" style="536" hidden="1"/>
    <col min="14336" max="14336" width="5.28515625" style="536" hidden="1"/>
    <col min="14337" max="14337" width="47.5703125" style="536" hidden="1"/>
    <col min="14338" max="14338" width="13.28515625" style="536" hidden="1"/>
    <col min="14339" max="14339" width="16.85546875" style="536" hidden="1"/>
    <col min="14340" max="14340" width="2.7109375" style="536" hidden="1"/>
    <col min="14341" max="14341" width="16.140625" style="536" hidden="1"/>
    <col min="14342" max="14342" width="2.85546875" style="536" hidden="1"/>
    <col min="14343" max="14343" width="10.28515625" style="536" hidden="1"/>
    <col min="14344" max="14344" width="2.140625" style="536" hidden="1"/>
    <col min="14345" max="14345" width="15.85546875" style="536" hidden="1"/>
    <col min="14346" max="14346" width="15.5703125" style="536" hidden="1"/>
    <col min="14347" max="14591" width="9.140625" style="536" hidden="1"/>
    <col min="14592" max="14592" width="5.28515625" style="536" hidden="1"/>
    <col min="14593" max="14593" width="47.5703125" style="536" hidden="1"/>
    <col min="14594" max="14594" width="13.28515625" style="536" hidden="1"/>
    <col min="14595" max="14595" width="16.85546875" style="536" hidden="1"/>
    <col min="14596" max="14596" width="2.7109375" style="536" hidden="1"/>
    <col min="14597" max="14597" width="16.140625" style="536" hidden="1"/>
    <col min="14598" max="14598" width="2.85546875" style="536" hidden="1"/>
    <col min="14599" max="14599" width="10.28515625" style="536" hidden="1"/>
    <col min="14600" max="14600" width="2.140625" style="536" hidden="1"/>
    <col min="14601" max="14601" width="15.85546875" style="536" hidden="1"/>
    <col min="14602" max="14602" width="15.5703125" style="536" hidden="1"/>
    <col min="14603" max="14847" width="9.140625" style="536" hidden="1"/>
    <col min="14848" max="14848" width="5.28515625" style="536" hidden="1"/>
    <col min="14849" max="14849" width="47.5703125" style="536" hidden="1"/>
    <col min="14850" max="14850" width="13.28515625" style="536" hidden="1"/>
    <col min="14851" max="14851" width="16.85546875" style="536" hidden="1"/>
    <col min="14852" max="14852" width="2.7109375" style="536" hidden="1"/>
    <col min="14853" max="14853" width="16.140625" style="536" hidden="1"/>
    <col min="14854" max="14854" width="2.85546875" style="536" hidden="1"/>
    <col min="14855" max="14855" width="10.28515625" style="536" hidden="1"/>
    <col min="14856" max="14856" width="2.140625" style="536" hidden="1"/>
    <col min="14857" max="14857" width="15.85546875" style="536" hidden="1"/>
    <col min="14858" max="14858" width="15.5703125" style="536" hidden="1"/>
    <col min="14859" max="15103" width="9.140625" style="536" hidden="1"/>
    <col min="15104" max="15104" width="5.28515625" style="536" hidden="1"/>
    <col min="15105" max="15105" width="47.5703125" style="536" hidden="1"/>
    <col min="15106" max="15106" width="13.28515625" style="536" hidden="1"/>
    <col min="15107" max="15107" width="16.85546875" style="536" hidden="1"/>
    <col min="15108" max="15108" width="2.7109375" style="536" hidden="1"/>
    <col min="15109" max="15109" width="16.140625" style="536" hidden="1"/>
    <col min="15110" max="15110" width="2.85546875" style="536" hidden="1"/>
    <col min="15111" max="15111" width="10.28515625" style="536" hidden="1"/>
    <col min="15112" max="15112" width="2.140625" style="536" hidden="1"/>
    <col min="15113" max="15113" width="15.85546875" style="536" hidden="1"/>
    <col min="15114" max="15114" width="15.5703125" style="536" hidden="1"/>
    <col min="15115" max="15359" width="9.140625" style="536" hidden="1"/>
    <col min="15360" max="15360" width="5.28515625" style="536" hidden="1"/>
    <col min="15361" max="15361" width="47.5703125" style="536" hidden="1"/>
    <col min="15362" max="15362" width="13.28515625" style="536" hidden="1"/>
    <col min="15363" max="15363" width="16.85546875" style="536" hidden="1"/>
    <col min="15364" max="15364" width="2.7109375" style="536" hidden="1"/>
    <col min="15365" max="15365" width="16.140625" style="536" hidden="1"/>
    <col min="15366" max="15366" width="2.85546875" style="536" hidden="1"/>
    <col min="15367" max="15367" width="10.28515625" style="536" hidden="1"/>
    <col min="15368" max="15368" width="2.140625" style="536" hidden="1"/>
    <col min="15369" max="15369" width="15.85546875" style="536" hidden="1"/>
    <col min="15370" max="15370" width="15.5703125" style="536" hidden="1"/>
    <col min="15371" max="15615" width="9.140625" style="536" hidden="1"/>
    <col min="15616" max="15616" width="5.28515625" style="536" hidden="1"/>
    <col min="15617" max="15617" width="47.5703125" style="536" hidden="1"/>
    <col min="15618" max="15618" width="13.28515625" style="536" hidden="1"/>
    <col min="15619" max="15619" width="16.85546875" style="536" hidden="1"/>
    <col min="15620" max="15620" width="2.7109375" style="536" hidden="1"/>
    <col min="15621" max="15621" width="16.140625" style="536" hidden="1"/>
    <col min="15622" max="15622" width="2.85546875" style="536" hidden="1"/>
    <col min="15623" max="15623" width="10.28515625" style="536" hidden="1"/>
    <col min="15624" max="15624" width="2.140625" style="536" hidden="1"/>
    <col min="15625" max="15625" width="15.85546875" style="536" hidden="1"/>
    <col min="15626" max="15626" width="15.5703125" style="536" hidden="1"/>
    <col min="15627" max="15871" width="9.140625" style="536" hidden="1"/>
    <col min="15872" max="15872" width="5.28515625" style="536" hidden="1"/>
    <col min="15873" max="15873" width="47.5703125" style="536" hidden="1"/>
    <col min="15874" max="15874" width="13.28515625" style="536" hidden="1"/>
    <col min="15875" max="15875" width="16.85546875" style="536" hidden="1"/>
    <col min="15876" max="15876" width="2.7109375" style="536" hidden="1"/>
    <col min="15877" max="15877" width="16.140625" style="536" hidden="1"/>
    <col min="15878" max="15878" width="2.85546875" style="536" hidden="1"/>
    <col min="15879" max="15879" width="10.28515625" style="536" hidden="1"/>
    <col min="15880" max="15880" width="2.140625" style="536" hidden="1"/>
    <col min="15881" max="15881" width="15.85546875" style="536" hidden="1"/>
    <col min="15882" max="15882" width="15.5703125" style="536" hidden="1"/>
    <col min="15883" max="16127" width="9.140625" style="536" hidden="1"/>
    <col min="16128" max="16128" width="5.28515625" style="536" hidden="1"/>
    <col min="16129" max="16129" width="47.5703125" style="536" hidden="1"/>
    <col min="16130" max="16130" width="13.28515625" style="536" hidden="1"/>
    <col min="16131" max="16131" width="16.85546875" style="536" hidden="1"/>
    <col min="16132" max="16132" width="2.7109375" style="536" hidden="1"/>
    <col min="16133" max="16133" width="16.140625" style="536" hidden="1"/>
    <col min="16134" max="16134" width="2.85546875" style="536" hidden="1"/>
    <col min="16135" max="16135" width="10.28515625" style="536" hidden="1"/>
    <col min="16136" max="16136" width="2.140625" style="536" hidden="1"/>
    <col min="16137" max="16137" width="15.85546875" style="536" hidden="1"/>
    <col min="16138" max="16138" width="15.5703125" style="536" hidden="1"/>
    <col min="16139" max="16384" width="9.140625" style="536" hidden="1"/>
  </cols>
  <sheetData>
    <row r="1" spans="1:10" s="1" customFormat="1" ht="14.25" customHeight="1" x14ac:dyDescent="0.2">
      <c r="A1" s="599" t="s">
        <v>263</v>
      </c>
      <c r="B1" s="597"/>
      <c r="D1" s="12"/>
      <c r="E1" s="12"/>
      <c r="F1" s="12"/>
      <c r="G1" s="12"/>
    </row>
    <row r="2" spans="1:10" s="7" customFormat="1" ht="15" customHeight="1" x14ac:dyDescent="0.2">
      <c r="A2" s="231"/>
      <c r="B2" s="232"/>
      <c r="C2" s="233"/>
      <c r="D2" s="234"/>
      <c r="E2" s="234"/>
      <c r="F2" s="234"/>
      <c r="G2" s="234"/>
      <c r="H2" s="234"/>
      <c r="I2" s="234"/>
      <c r="J2" s="235"/>
    </row>
    <row r="3" spans="1:10" s="7" customFormat="1" ht="26.25" thickBot="1" x14ac:dyDescent="0.25">
      <c r="A3" s="236"/>
      <c r="B3" s="5"/>
      <c r="C3" s="480" t="s">
        <v>18</v>
      </c>
      <c r="D3" s="481" t="s">
        <v>63</v>
      </c>
      <c r="E3" s="482" t="s">
        <v>4</v>
      </c>
      <c r="F3" s="483" t="s">
        <v>64</v>
      </c>
      <c r="G3" s="482" t="s">
        <v>65</v>
      </c>
      <c r="H3" s="484" t="s">
        <v>66</v>
      </c>
      <c r="I3" s="484" t="s">
        <v>4</v>
      </c>
      <c r="J3" s="483" t="s">
        <v>67</v>
      </c>
    </row>
    <row r="4" spans="1:10" s="7" customFormat="1" ht="15" customHeight="1" thickBot="1" x14ac:dyDescent="0.25">
      <c r="A4" s="241"/>
      <c r="B4" s="352" t="s">
        <v>16</v>
      </c>
      <c r="C4" s="401" t="s">
        <v>68</v>
      </c>
      <c r="D4" s="403" t="s">
        <v>69</v>
      </c>
      <c r="E4" s="285"/>
      <c r="F4" s="402"/>
      <c r="G4" s="403"/>
      <c r="H4" s="404"/>
      <c r="I4" s="404"/>
      <c r="J4" s="286"/>
    </row>
    <row r="5" spans="1:10" s="7" customFormat="1" ht="15" customHeight="1" x14ac:dyDescent="0.2">
      <c r="A5" s="241"/>
      <c r="B5" s="6" t="s">
        <v>70</v>
      </c>
      <c r="C5" s="276">
        <f>ROUND('Development by Block'!AD4*'Use Allocation'!D7,0)</f>
        <v>0</v>
      </c>
      <c r="D5" s="485">
        <f>D6*1.05</f>
        <v>88200</v>
      </c>
      <c r="E5" s="486"/>
      <c r="F5" s="487">
        <f t="shared" ref="F5:F11" si="0">ROUND(C5*D5,-3)</f>
        <v>0</v>
      </c>
      <c r="G5" s="485"/>
      <c r="H5" s="488">
        <v>0.1</v>
      </c>
      <c r="I5" s="488"/>
      <c r="J5" s="489">
        <f t="shared" ref="J5:J11" si="1">ROUND(F5*H5,-3)</f>
        <v>0</v>
      </c>
    </row>
    <row r="6" spans="1:10" s="7" customFormat="1" ht="15" customHeight="1" x14ac:dyDescent="0.2">
      <c r="A6" s="241"/>
      <c r="B6" s="6" t="s">
        <v>71</v>
      </c>
      <c r="C6" s="276">
        <f>ROUND('Development by Block'!AD4*'Use Allocation'!E7,0)</f>
        <v>0</v>
      </c>
      <c r="D6" s="485">
        <v>84000</v>
      </c>
      <c r="E6" s="486"/>
      <c r="F6" s="487">
        <f t="shared" si="0"/>
        <v>0</v>
      </c>
      <c r="G6" s="485"/>
      <c r="H6" s="488">
        <v>0</v>
      </c>
      <c r="I6" s="488"/>
      <c r="J6" s="489">
        <f t="shared" si="1"/>
        <v>0</v>
      </c>
    </row>
    <row r="7" spans="1:10" s="7" customFormat="1" ht="15" customHeight="1" x14ac:dyDescent="0.2">
      <c r="A7" s="241"/>
      <c r="B7" s="6" t="s">
        <v>72</v>
      </c>
      <c r="C7" s="276">
        <f>ROUND('Development by Block'!AD5*'Use Allocation'!D8,0)</f>
        <v>0</v>
      </c>
      <c r="D7" s="485">
        <f>D8*1.05</f>
        <v>171150</v>
      </c>
      <c r="E7" s="486"/>
      <c r="F7" s="487">
        <f t="shared" si="0"/>
        <v>0</v>
      </c>
      <c r="G7" s="485"/>
      <c r="H7" s="488">
        <v>0.1</v>
      </c>
      <c r="I7" s="488"/>
      <c r="J7" s="489">
        <f t="shared" si="1"/>
        <v>0</v>
      </c>
    </row>
    <row r="8" spans="1:10" s="7" customFormat="1" ht="15" customHeight="1" x14ac:dyDescent="0.2">
      <c r="A8" s="241"/>
      <c r="B8" s="6" t="s">
        <v>73</v>
      </c>
      <c r="C8" s="276">
        <f>ROUND('Development by Block'!AD5*'Use Allocation'!E8,0)</f>
        <v>0</v>
      </c>
      <c r="D8" s="485">
        <v>163000</v>
      </c>
      <c r="E8" s="486"/>
      <c r="F8" s="487">
        <f t="shared" si="0"/>
        <v>0</v>
      </c>
      <c r="G8" s="485"/>
      <c r="H8" s="488">
        <v>0</v>
      </c>
      <c r="I8" s="488"/>
      <c r="J8" s="489">
        <f t="shared" si="1"/>
        <v>0</v>
      </c>
    </row>
    <row r="9" spans="1:10" s="7" customFormat="1" ht="15" customHeight="1" x14ac:dyDescent="0.2">
      <c r="A9" s="241"/>
      <c r="B9" s="6" t="s">
        <v>22</v>
      </c>
      <c r="C9" s="276">
        <f>ROUND('Development by Block'!AD6,0)</f>
        <v>0</v>
      </c>
      <c r="D9" s="485">
        <v>192000</v>
      </c>
      <c r="E9" s="486"/>
      <c r="F9" s="487">
        <f t="shared" si="0"/>
        <v>0</v>
      </c>
      <c r="G9" s="485"/>
      <c r="H9" s="488">
        <v>0</v>
      </c>
      <c r="I9" s="488"/>
      <c r="J9" s="489">
        <f t="shared" si="1"/>
        <v>0</v>
      </c>
    </row>
    <row r="10" spans="1:10" s="7" customFormat="1" ht="15" customHeight="1" x14ac:dyDescent="0.2">
      <c r="A10" s="241"/>
      <c r="B10" s="6" t="s">
        <v>74</v>
      </c>
      <c r="C10" s="276">
        <f>'Use Allocation'!E13/500</f>
        <v>0</v>
      </c>
      <c r="D10" s="210">
        <v>0</v>
      </c>
      <c r="E10" s="490"/>
      <c r="F10" s="487">
        <f t="shared" si="0"/>
        <v>0</v>
      </c>
      <c r="G10" s="485"/>
      <c r="H10" s="488">
        <v>0</v>
      </c>
      <c r="I10" s="488"/>
      <c r="J10" s="489">
        <f t="shared" si="1"/>
        <v>0</v>
      </c>
    </row>
    <row r="11" spans="1:10" s="7" customFormat="1" ht="15" customHeight="1" thickBot="1" x14ac:dyDescent="0.25">
      <c r="A11" s="241"/>
      <c r="B11" s="6" t="s">
        <v>75</v>
      </c>
      <c r="C11" s="276">
        <f>'Development by Block'!AD7</f>
        <v>0</v>
      </c>
      <c r="D11" s="485">
        <v>0</v>
      </c>
      <c r="E11" s="486"/>
      <c r="F11" s="487">
        <f t="shared" si="0"/>
        <v>0</v>
      </c>
      <c r="G11" s="485"/>
      <c r="H11" s="488">
        <v>0</v>
      </c>
      <c r="I11" s="488"/>
      <c r="J11" s="489">
        <f t="shared" si="1"/>
        <v>0</v>
      </c>
    </row>
    <row r="12" spans="1:10" s="7" customFormat="1" ht="15" customHeight="1" thickBot="1" x14ac:dyDescent="0.25">
      <c r="A12" s="241"/>
      <c r="B12" s="352" t="s">
        <v>26</v>
      </c>
      <c r="C12" s="401" t="s">
        <v>27</v>
      </c>
      <c r="D12" s="403" t="s">
        <v>69</v>
      </c>
      <c r="E12" s="405"/>
      <c r="F12" s="402"/>
      <c r="G12" s="403"/>
      <c r="H12" s="404"/>
      <c r="I12" s="404"/>
      <c r="J12" s="286"/>
    </row>
    <row r="13" spans="1:10" s="7" customFormat="1" ht="15" customHeight="1" x14ac:dyDescent="0.2">
      <c r="A13" s="241"/>
      <c r="B13" s="6" t="s">
        <v>31</v>
      </c>
      <c r="C13" s="276">
        <f>'Development by Block'!AD9+'Development by Block'!AD10</f>
        <v>0</v>
      </c>
      <c r="D13" s="485">
        <v>125</v>
      </c>
      <c r="E13" s="486"/>
      <c r="F13" s="487">
        <f>ROUND(C13*D13,-3)</f>
        <v>0</v>
      </c>
      <c r="G13" s="485"/>
      <c r="H13" s="488">
        <v>0</v>
      </c>
      <c r="I13" s="488"/>
      <c r="J13" s="489">
        <f>ROUND(F13*H13,-3)</f>
        <v>0</v>
      </c>
    </row>
    <row r="14" spans="1:10" s="7" customFormat="1" ht="15" customHeight="1" x14ac:dyDescent="0.2">
      <c r="A14" s="241"/>
      <c r="B14" s="6" t="s">
        <v>33</v>
      </c>
      <c r="C14" s="276">
        <f>'Development by Block'!AD11</f>
        <v>0</v>
      </c>
      <c r="D14" s="485">
        <v>185</v>
      </c>
      <c r="E14" s="486"/>
      <c r="F14" s="487">
        <f>ROUND(C14*D14,-3)</f>
        <v>0</v>
      </c>
      <c r="G14" s="485"/>
      <c r="H14" s="488">
        <v>0</v>
      </c>
      <c r="I14" s="488"/>
      <c r="J14" s="489">
        <f t="shared" ref="J14:J16" si="2">ROUND(F14*H14,-3)</f>
        <v>0</v>
      </c>
    </row>
    <row r="15" spans="1:10" s="7" customFormat="1" ht="15" customHeight="1" x14ac:dyDescent="0.2">
      <c r="A15" s="241"/>
      <c r="B15" s="6" t="s">
        <v>76</v>
      </c>
      <c r="C15" s="276">
        <f>'Use Allocation'!C13</f>
        <v>0</v>
      </c>
      <c r="D15" s="210">
        <v>100</v>
      </c>
      <c r="E15" s="490"/>
      <c r="F15" s="487">
        <f>ROUND(C15*D15,-3)</f>
        <v>0</v>
      </c>
      <c r="G15" s="485"/>
      <c r="H15" s="488">
        <v>0</v>
      </c>
      <c r="I15" s="488"/>
      <c r="J15" s="489">
        <f t="shared" si="2"/>
        <v>0</v>
      </c>
    </row>
    <row r="16" spans="1:10" s="7" customFormat="1" ht="15" customHeight="1" x14ac:dyDescent="0.2">
      <c r="A16" s="348"/>
      <c r="B16" s="6" t="s">
        <v>77</v>
      </c>
      <c r="C16" s="276">
        <f>'Use Allocation'!C30</f>
        <v>46500</v>
      </c>
      <c r="D16" s="210">
        <v>100</v>
      </c>
      <c r="E16" s="490"/>
      <c r="F16" s="487">
        <f>ROUND(C16*D16,-3)</f>
        <v>4650000</v>
      </c>
      <c r="G16" s="485"/>
      <c r="H16" s="488">
        <v>0</v>
      </c>
      <c r="I16" s="488"/>
      <c r="J16" s="489">
        <f t="shared" si="2"/>
        <v>0</v>
      </c>
    </row>
    <row r="17" spans="1:10" s="7" customFormat="1" ht="15" customHeight="1" thickBot="1" x14ac:dyDescent="0.25">
      <c r="A17" s="237"/>
      <c r="B17" s="6" t="s">
        <v>78</v>
      </c>
      <c r="C17" s="276">
        <f>'Use Allocation'!C37</f>
        <v>60000</v>
      </c>
      <c r="D17" s="210">
        <v>100</v>
      </c>
      <c r="E17" s="490"/>
      <c r="F17" s="487">
        <f>ROUND(C17*D17,-3)</f>
        <v>6000000</v>
      </c>
      <c r="G17" s="485"/>
      <c r="H17" s="488">
        <v>0</v>
      </c>
      <c r="I17" s="488"/>
      <c r="J17" s="489">
        <f>ROUND(F17*H17,-3)</f>
        <v>0</v>
      </c>
    </row>
    <row r="18" spans="1:10" s="7" customFormat="1" ht="15" customHeight="1" thickBot="1" x14ac:dyDescent="0.25">
      <c r="A18" s="236"/>
      <c r="B18" s="352" t="s">
        <v>35</v>
      </c>
      <c r="C18" s="401" t="s">
        <v>27</v>
      </c>
      <c r="D18" s="403" t="s">
        <v>69</v>
      </c>
      <c r="E18" s="405"/>
      <c r="F18" s="402"/>
      <c r="G18" s="403"/>
      <c r="H18" s="404"/>
      <c r="I18" s="404"/>
      <c r="J18" s="286"/>
    </row>
    <row r="19" spans="1:10" s="7" customFormat="1" ht="15" customHeight="1" x14ac:dyDescent="0.2">
      <c r="A19" s="237"/>
      <c r="B19" s="6" t="s">
        <v>37</v>
      </c>
      <c r="C19" s="276">
        <f>'Development by Block'!AD13</f>
        <v>0</v>
      </c>
      <c r="D19" s="485">
        <v>100</v>
      </c>
      <c r="E19" s="486"/>
      <c r="F19" s="487">
        <f t="shared" ref="F19:F24" si="3">ROUND(C19*D19,-3)</f>
        <v>0</v>
      </c>
      <c r="G19" s="485"/>
      <c r="H19" s="488">
        <v>0</v>
      </c>
      <c r="I19" s="488"/>
      <c r="J19" s="489">
        <f t="shared" ref="J19:J24" si="4">ROUND(F19*H19,-3)</f>
        <v>0</v>
      </c>
    </row>
    <row r="20" spans="1:10" s="7" customFormat="1" ht="15" customHeight="1" x14ac:dyDescent="0.2">
      <c r="A20" s="236"/>
      <c r="B20" s="6" t="s">
        <v>39</v>
      </c>
      <c r="C20" s="276">
        <f>'Development by Block'!AD14</f>
        <v>40000</v>
      </c>
      <c r="D20" s="485">
        <v>115</v>
      </c>
      <c r="E20" s="486"/>
      <c r="F20" s="487">
        <f t="shared" si="3"/>
        <v>4600000</v>
      </c>
      <c r="G20" s="485"/>
      <c r="H20" s="488">
        <v>0</v>
      </c>
      <c r="I20" s="488"/>
      <c r="J20" s="489">
        <f t="shared" si="4"/>
        <v>0</v>
      </c>
    </row>
    <row r="21" spans="1:10" s="7" customFormat="1" ht="15" customHeight="1" x14ac:dyDescent="0.2">
      <c r="A21" s="236"/>
      <c r="B21" s="6" t="s">
        <v>40</v>
      </c>
      <c r="C21" s="276">
        <f>'Development by Block'!AD15</f>
        <v>0</v>
      </c>
      <c r="D21" s="485">
        <v>125</v>
      </c>
      <c r="E21" s="486"/>
      <c r="F21" s="487">
        <f t="shared" si="3"/>
        <v>0</v>
      </c>
      <c r="G21" s="485"/>
      <c r="H21" s="488">
        <v>0</v>
      </c>
      <c r="I21" s="488"/>
      <c r="J21" s="489">
        <f t="shared" si="4"/>
        <v>0</v>
      </c>
    </row>
    <row r="22" spans="1:10" s="7" customFormat="1" ht="15" customHeight="1" x14ac:dyDescent="0.2">
      <c r="A22" s="236"/>
      <c r="B22" s="6" t="s">
        <v>151</v>
      </c>
      <c r="C22" s="276">
        <f>'Use Allocation'!D13</f>
        <v>0</v>
      </c>
      <c r="D22" s="485">
        <v>100</v>
      </c>
      <c r="E22" s="486"/>
      <c r="F22" s="487">
        <f t="shared" si="3"/>
        <v>0</v>
      </c>
      <c r="G22" s="485"/>
      <c r="H22" s="488">
        <v>0</v>
      </c>
      <c r="I22" s="488"/>
      <c r="J22" s="489">
        <f t="shared" si="4"/>
        <v>0</v>
      </c>
    </row>
    <row r="23" spans="1:10" s="7" customFormat="1" ht="15" customHeight="1" x14ac:dyDescent="0.2">
      <c r="A23" s="238"/>
      <c r="B23" s="6" t="s">
        <v>79</v>
      </c>
      <c r="C23" s="276">
        <f>ROUND(('Use Allocation'!D16/48000)*'Development by Block'!AD18,-3)</f>
        <v>0</v>
      </c>
      <c r="D23" s="210">
        <v>100</v>
      </c>
      <c r="E23" s="490"/>
      <c r="F23" s="487">
        <f t="shared" si="3"/>
        <v>0</v>
      </c>
      <c r="G23" s="485"/>
      <c r="H23" s="488">
        <v>0</v>
      </c>
      <c r="I23" s="488"/>
      <c r="J23" s="489">
        <f t="shared" si="4"/>
        <v>0</v>
      </c>
    </row>
    <row r="24" spans="1:10" s="7" customFormat="1" ht="15" customHeight="1" thickBot="1" x14ac:dyDescent="0.25">
      <c r="A24" s="236"/>
      <c r="B24" s="6" t="s">
        <v>80</v>
      </c>
      <c r="C24" s="276">
        <f>'Use Allocation'!D34</f>
        <v>0</v>
      </c>
      <c r="D24" s="210">
        <v>100</v>
      </c>
      <c r="E24" s="490"/>
      <c r="F24" s="487">
        <f t="shared" si="3"/>
        <v>0</v>
      </c>
      <c r="G24" s="485"/>
      <c r="H24" s="488">
        <v>0</v>
      </c>
      <c r="I24" s="488"/>
      <c r="J24" s="489">
        <f t="shared" si="4"/>
        <v>0</v>
      </c>
    </row>
    <row r="25" spans="1:10" s="7" customFormat="1" ht="15" customHeight="1" thickBot="1" x14ac:dyDescent="0.25">
      <c r="A25" s="237"/>
      <c r="B25" s="352" t="s">
        <v>81</v>
      </c>
      <c r="C25" s="401" t="s">
        <v>27</v>
      </c>
      <c r="D25" s="403" t="s">
        <v>82</v>
      </c>
      <c r="E25" s="405"/>
      <c r="F25" s="402"/>
      <c r="G25" s="403"/>
      <c r="H25" s="404"/>
      <c r="I25" s="404"/>
      <c r="J25" s="286"/>
    </row>
    <row r="26" spans="1:10" s="7" customFormat="1" x14ac:dyDescent="0.2">
      <c r="A26" s="237"/>
      <c r="B26" s="6" t="s">
        <v>149</v>
      </c>
      <c r="C26" s="276">
        <f>SUM('Use Allocation'!E17:E27)</f>
        <v>1500</v>
      </c>
      <c r="D26" s="210">
        <v>100</v>
      </c>
      <c r="E26" s="490"/>
      <c r="F26" s="487">
        <f>ROUND(C26*D26,-3)</f>
        <v>150000</v>
      </c>
      <c r="G26" s="485"/>
      <c r="H26" s="488">
        <v>0.15</v>
      </c>
      <c r="I26" s="488"/>
      <c r="J26" s="489">
        <f>ROUND(F26*H26,-3)</f>
        <v>23000</v>
      </c>
    </row>
    <row r="27" spans="1:10" s="7" customFormat="1" x14ac:dyDescent="0.2">
      <c r="A27" s="237"/>
      <c r="B27" s="6" t="s">
        <v>179</v>
      </c>
      <c r="C27" s="276">
        <f>'Use Allocation'!E28+'Use Allocation'!E29</f>
        <v>0</v>
      </c>
      <c r="D27" s="210">
        <v>100</v>
      </c>
      <c r="E27" s="490"/>
      <c r="F27" s="487">
        <f>ROUND(C27*D27,-3)</f>
        <v>0</v>
      </c>
      <c r="G27" s="485"/>
      <c r="H27" s="488">
        <v>0</v>
      </c>
      <c r="I27" s="488"/>
      <c r="J27" s="489">
        <f>ROUND(F27*H27,-3)</f>
        <v>0</v>
      </c>
    </row>
    <row r="28" spans="1:10" s="7" customFormat="1" ht="13.5" thickBot="1" x14ac:dyDescent="0.25">
      <c r="A28" s="237"/>
      <c r="B28" s="6" t="s">
        <v>180</v>
      </c>
      <c r="C28" s="276">
        <f>'Use Allocation'!E36+'Use Allocation'!E35</f>
        <v>0</v>
      </c>
      <c r="D28" s="210">
        <v>100</v>
      </c>
      <c r="E28" s="490"/>
      <c r="F28" s="487">
        <f>ROUND(C28*D28,-3)</f>
        <v>0</v>
      </c>
      <c r="G28" s="485"/>
      <c r="H28" s="488">
        <v>0</v>
      </c>
      <c r="I28" s="488"/>
      <c r="J28" s="489">
        <f>ROUND(F28*H28,-3)</f>
        <v>0</v>
      </c>
    </row>
    <row r="29" spans="1:10" s="7" customFormat="1" ht="13.5" thickBot="1" x14ac:dyDescent="0.25">
      <c r="A29" s="237"/>
      <c r="B29" s="352" t="s">
        <v>46</v>
      </c>
      <c r="C29" s="401" t="str">
        <f>'Development by Block'!AD20</f>
        <v>Total SF</v>
      </c>
      <c r="D29" s="284"/>
      <c r="E29" s="285"/>
      <c r="F29" s="402"/>
      <c r="G29" s="403"/>
      <c r="H29" s="404"/>
      <c r="I29" s="404"/>
      <c r="J29" s="286"/>
    </row>
    <row r="30" spans="1:10" s="7" customFormat="1" x14ac:dyDescent="0.2">
      <c r="A30" s="237"/>
      <c r="B30" s="6" t="s">
        <v>47</v>
      </c>
      <c r="C30" s="276">
        <f>'Development by Block'!AD21</f>
        <v>25000</v>
      </c>
      <c r="D30" s="485">
        <v>37</v>
      </c>
      <c r="E30" s="486"/>
      <c r="F30" s="487">
        <f>ROUND(C30*D30,-3)</f>
        <v>925000</v>
      </c>
      <c r="G30" s="485"/>
      <c r="H30" s="488">
        <v>0.5</v>
      </c>
      <c r="I30" s="488"/>
      <c r="J30" s="489">
        <f>ROUND(F30*H30,-3)</f>
        <v>463000</v>
      </c>
    </row>
    <row r="31" spans="1:10" s="7" customFormat="1" x14ac:dyDescent="0.2">
      <c r="A31" s="237"/>
      <c r="B31" s="6" t="s">
        <v>48</v>
      </c>
      <c r="C31" s="276">
        <f>'Development by Block'!AD22</f>
        <v>10000</v>
      </c>
      <c r="D31" s="485">
        <v>39</v>
      </c>
      <c r="E31" s="486"/>
      <c r="F31" s="487">
        <f>ROUND(C31*D31,-3)</f>
        <v>390000</v>
      </c>
      <c r="G31" s="485"/>
      <c r="H31" s="488">
        <v>0.5</v>
      </c>
      <c r="I31" s="488"/>
      <c r="J31" s="489">
        <f>ROUND(F31*H31,-3)</f>
        <v>195000</v>
      </c>
    </row>
    <row r="32" spans="1:10" s="7" customFormat="1" ht="13.5" thickBot="1" x14ac:dyDescent="0.25">
      <c r="A32" s="237"/>
      <c r="B32" s="6" t="s">
        <v>49</v>
      </c>
      <c r="C32" s="276">
        <f>'Development by Block'!AD23</f>
        <v>10000</v>
      </c>
      <c r="D32" s="485">
        <v>60</v>
      </c>
      <c r="E32" s="486"/>
      <c r="F32" s="487">
        <f>ROUND(C32*D32,-3)</f>
        <v>600000</v>
      </c>
      <c r="G32" s="485"/>
      <c r="H32" s="488">
        <v>0.5</v>
      </c>
      <c r="I32" s="488"/>
      <c r="J32" s="489">
        <f>ROUND(F32*H32,-3)</f>
        <v>300000</v>
      </c>
    </row>
    <row r="33" spans="1:11" s="7" customFormat="1" ht="13.5" thickBot="1" x14ac:dyDescent="0.25">
      <c r="A33" s="237"/>
      <c r="B33" s="352" t="s">
        <v>246</v>
      </c>
      <c r="C33" s="401"/>
      <c r="D33" s="403"/>
      <c r="E33" s="405"/>
      <c r="F33" s="402"/>
      <c r="G33" s="403"/>
      <c r="H33" s="404"/>
      <c r="I33" s="404"/>
      <c r="J33" s="286"/>
    </row>
    <row r="34" spans="1:11" s="7" customFormat="1" ht="13.5" thickBot="1" x14ac:dyDescent="0.25">
      <c r="A34" s="237"/>
      <c r="B34" s="6" t="s">
        <v>83</v>
      </c>
      <c r="C34" s="276"/>
      <c r="D34" s="210">
        <f>IF('Use Allocation'!E13/60000+C11&lt;100,IF(C10&lt;120,750000,0),0)</f>
        <v>750000</v>
      </c>
      <c r="E34" s="490"/>
      <c r="F34" s="487">
        <f>D34</f>
        <v>750000</v>
      </c>
      <c r="G34" s="485"/>
      <c r="H34" s="488">
        <v>0</v>
      </c>
      <c r="I34" s="488"/>
      <c r="J34" s="489"/>
    </row>
    <row r="35" spans="1:11" s="7" customFormat="1" ht="13.5" thickBot="1" x14ac:dyDescent="0.25">
      <c r="A35" s="237"/>
      <c r="B35" s="352" t="s">
        <v>50</v>
      </c>
      <c r="C35" s="401" t="str">
        <f>'Development by Block'!AD24</f>
        <v>Total Spaces</v>
      </c>
      <c r="D35" s="284"/>
      <c r="E35" s="285"/>
      <c r="F35" s="402"/>
      <c r="G35" s="403"/>
      <c r="H35" s="404"/>
      <c r="I35" s="404"/>
      <c r="J35" s="286"/>
    </row>
    <row r="36" spans="1:11" s="7" customFormat="1" x14ac:dyDescent="0.2">
      <c r="A36" s="237"/>
      <c r="B36" s="6" t="s">
        <v>231</v>
      </c>
      <c r="C36" s="276">
        <f>'Development by Block'!AD25</f>
        <v>0</v>
      </c>
      <c r="D36" s="485">
        <v>0</v>
      </c>
      <c r="E36" s="486"/>
      <c r="F36" s="487">
        <f t="shared" ref="F36:F41" si="5">ROUND(C36*D36,-3)</f>
        <v>0</v>
      </c>
      <c r="G36" s="485"/>
      <c r="H36" s="488">
        <v>0</v>
      </c>
      <c r="I36" s="488"/>
      <c r="J36" s="489">
        <f t="shared" ref="J36:J41" si="6">ROUND(F36*H36,-3)</f>
        <v>0</v>
      </c>
    </row>
    <row r="37" spans="1:11" s="7" customFormat="1" x14ac:dyDescent="0.2">
      <c r="A37" s="237"/>
      <c r="B37" s="6" t="s">
        <v>235</v>
      </c>
      <c r="C37" s="276">
        <f>'Development by Block'!AD26</f>
        <v>0</v>
      </c>
      <c r="D37" s="485">
        <v>0</v>
      </c>
      <c r="E37" s="486"/>
      <c r="F37" s="487">
        <f t="shared" si="5"/>
        <v>0</v>
      </c>
      <c r="G37" s="485"/>
      <c r="H37" s="488">
        <v>0</v>
      </c>
      <c r="I37" s="488"/>
      <c r="J37" s="489">
        <f t="shared" si="6"/>
        <v>0</v>
      </c>
    </row>
    <row r="38" spans="1:11" s="7" customFormat="1" x14ac:dyDescent="0.2">
      <c r="A38" s="237"/>
      <c r="B38" s="6" t="s">
        <v>229</v>
      </c>
      <c r="C38" s="276">
        <f>'Development by Block'!AD27</f>
        <v>0</v>
      </c>
      <c r="D38" s="485">
        <v>0</v>
      </c>
      <c r="E38" s="486"/>
      <c r="F38" s="487">
        <f t="shared" si="5"/>
        <v>0</v>
      </c>
      <c r="G38" s="485"/>
      <c r="H38" s="488">
        <v>0</v>
      </c>
      <c r="I38" s="488"/>
      <c r="J38" s="489">
        <f t="shared" si="6"/>
        <v>0</v>
      </c>
    </row>
    <row r="39" spans="1:11" s="7" customFormat="1" x14ac:dyDescent="0.2">
      <c r="A39" s="237"/>
      <c r="B39" s="6" t="s">
        <v>230</v>
      </c>
      <c r="C39" s="276">
        <f>'Development by Block'!AD28</f>
        <v>0</v>
      </c>
      <c r="D39" s="485">
        <v>0</v>
      </c>
      <c r="E39" s="486"/>
      <c r="F39" s="487">
        <f t="shared" si="5"/>
        <v>0</v>
      </c>
      <c r="G39" s="485"/>
      <c r="H39" s="488">
        <v>0</v>
      </c>
      <c r="I39" s="488"/>
      <c r="J39" s="489">
        <f t="shared" si="6"/>
        <v>0</v>
      </c>
    </row>
    <row r="40" spans="1:11" s="7" customFormat="1" x14ac:dyDescent="0.2">
      <c r="A40" s="237"/>
      <c r="B40" s="6" t="s">
        <v>247</v>
      </c>
      <c r="C40" s="276">
        <f>'Development by Block'!AD29</f>
        <v>160</v>
      </c>
      <c r="D40" s="485">
        <v>0</v>
      </c>
      <c r="E40" s="486"/>
      <c r="F40" s="487">
        <f t="shared" si="5"/>
        <v>0</v>
      </c>
      <c r="G40" s="485"/>
      <c r="H40" s="488">
        <v>0</v>
      </c>
      <c r="I40" s="488"/>
      <c r="J40" s="489">
        <f t="shared" si="6"/>
        <v>0</v>
      </c>
    </row>
    <row r="41" spans="1:11" s="7" customFormat="1" ht="13.5" thickBot="1" x14ac:dyDescent="0.25">
      <c r="A41" s="237"/>
      <c r="B41" s="6" t="s">
        <v>54</v>
      </c>
      <c r="C41" s="276">
        <f>'Development by Block'!AD30</f>
        <v>0</v>
      </c>
      <c r="D41" s="485">
        <v>0</v>
      </c>
      <c r="E41" s="486"/>
      <c r="F41" s="487">
        <f t="shared" si="5"/>
        <v>0</v>
      </c>
      <c r="G41" s="485"/>
      <c r="H41" s="488">
        <v>0</v>
      </c>
      <c r="I41" s="488"/>
      <c r="J41" s="489">
        <f t="shared" si="6"/>
        <v>0</v>
      </c>
    </row>
    <row r="42" spans="1:11" s="7" customFormat="1" ht="13.5" thickBot="1" x14ac:dyDescent="0.25">
      <c r="A42" s="237"/>
      <c r="B42" s="352" t="s">
        <v>84</v>
      </c>
      <c r="C42" s="491"/>
      <c r="D42" s="492"/>
      <c r="E42" s="493"/>
      <c r="F42" s="494"/>
      <c r="G42" s="492"/>
      <c r="H42" s="495"/>
      <c r="I42" s="495"/>
      <c r="J42" s="496">
        <v>10000000</v>
      </c>
    </row>
    <row r="43" spans="1:11" s="7" customFormat="1" x14ac:dyDescent="0.2">
      <c r="A43" s="237"/>
      <c r="B43" s="2" t="s">
        <v>58</v>
      </c>
      <c r="C43" s="497"/>
      <c r="D43" s="498"/>
      <c r="E43" s="499"/>
      <c r="F43" s="500">
        <f>SUM(F5:F42)</f>
        <v>18065000</v>
      </c>
      <c r="G43" s="498"/>
      <c r="H43" s="501"/>
      <c r="I43" s="501"/>
      <c r="J43" s="502">
        <f>SUM(J5:J42)</f>
        <v>10981000</v>
      </c>
      <c r="K43" s="535"/>
    </row>
    <row r="44" spans="1:11" s="7" customFormat="1" x14ac:dyDescent="0.2">
      <c r="A44" s="237"/>
      <c r="B44" s="6"/>
      <c r="D44" s="13"/>
      <c r="E44" s="13"/>
      <c r="F44" s="13"/>
      <c r="G44" s="13"/>
      <c r="H44" s="14"/>
      <c r="I44" s="14"/>
      <c r="J44" s="13"/>
    </row>
    <row r="45" spans="1:11" hidden="1" x14ac:dyDescent="0.2">
      <c r="A45" s="237"/>
    </row>
    <row r="46" spans="1:11" hidden="1" x14ac:dyDescent="0.2">
      <c r="A46" s="237"/>
    </row>
    <row r="47" spans="1:11" hidden="1" x14ac:dyDescent="0.2">
      <c r="A47" s="237"/>
    </row>
    <row r="48" spans="1:11" hidden="1" x14ac:dyDescent="0.2">
      <c r="A48" s="237"/>
    </row>
    <row r="49" spans="1:1" hidden="1" x14ac:dyDescent="0.2">
      <c r="A49" s="237"/>
    </row>
    <row r="50" spans="1:1" hidden="1" x14ac:dyDescent="0.2">
      <c r="A50" s="237"/>
    </row>
    <row r="51" spans="1:1" hidden="1" x14ac:dyDescent="0.2">
      <c r="A51" s="237"/>
    </row>
    <row r="52" spans="1:1" hidden="1" x14ac:dyDescent="0.2">
      <c r="A52" s="237"/>
    </row>
    <row r="53" spans="1:1" hidden="1" x14ac:dyDescent="0.2">
      <c r="A53" s="237"/>
    </row>
    <row r="54" spans="1:1" hidden="1" x14ac:dyDescent="0.2">
      <c r="A54" s="237"/>
    </row>
    <row r="55" spans="1:1" hidden="1" x14ac:dyDescent="0.2">
      <c r="A55" s="237"/>
    </row>
    <row r="56" spans="1:1" hidden="1" x14ac:dyDescent="0.2">
      <c r="A56" s="237"/>
    </row>
    <row r="57" spans="1:1" hidden="1" x14ac:dyDescent="0.2">
      <c r="A57" s="237"/>
    </row>
    <row r="58" spans="1:1" hidden="1" x14ac:dyDescent="0.2">
      <c r="A58" s="237"/>
    </row>
    <row r="59" spans="1:1" hidden="1" x14ac:dyDescent="0.2">
      <c r="A59" s="237"/>
    </row>
    <row r="60" spans="1:1" hidden="1" x14ac:dyDescent="0.2">
      <c r="A60" s="237"/>
    </row>
    <row r="61" spans="1:1" hidden="1" x14ac:dyDescent="0.2">
      <c r="A61" s="237"/>
    </row>
    <row r="62" spans="1:1" hidden="1" x14ac:dyDescent="0.2">
      <c r="A62" s="237"/>
    </row>
    <row r="63" spans="1:1" hidden="1" x14ac:dyDescent="0.2">
      <c r="A63" s="237"/>
    </row>
    <row r="64" spans="1:1" hidden="1" x14ac:dyDescent="0.2">
      <c r="A64" s="237"/>
    </row>
    <row r="65" spans="1:1" hidden="1" x14ac:dyDescent="0.2">
      <c r="A65" s="237"/>
    </row>
    <row r="66" spans="1:1" hidden="1" x14ac:dyDescent="0.2">
      <c r="A66" s="237"/>
    </row>
    <row r="67" spans="1:1" hidden="1" x14ac:dyDescent="0.2">
      <c r="A67" s="237"/>
    </row>
    <row r="68" spans="1:1" hidden="1" x14ac:dyDescent="0.2">
      <c r="A68" s="237"/>
    </row>
    <row r="69" spans="1:1" hidden="1" x14ac:dyDescent="0.2">
      <c r="A69" s="237"/>
    </row>
    <row r="70" spans="1:1" hidden="1" x14ac:dyDescent="0.2">
      <c r="A70" s="237"/>
    </row>
    <row r="71" spans="1:1" hidden="1" x14ac:dyDescent="0.2">
      <c r="A71" s="237"/>
    </row>
  </sheetData>
  <sheetProtection sheet="1" objects="1" scenarios="1"/>
  <printOptions horizontalCentered="1"/>
  <pageMargins left="0.25" right="0.25" top="0.5" bottom="0.5" header="0.3" footer="0.3"/>
  <pageSetup scale="8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pageSetUpPr fitToPage="1"/>
  </sheetPr>
  <dimension ref="A1:WVO58"/>
  <sheetViews>
    <sheetView showGridLines="0" zoomScaleNormal="100" zoomScaleSheetLayoutView="100" workbookViewId="0"/>
  </sheetViews>
  <sheetFormatPr defaultColWidth="0" defaultRowHeight="12.75" zeroHeight="1" x14ac:dyDescent="0.2"/>
  <cols>
    <col min="1" max="1" width="5.7109375" style="536" customWidth="1"/>
    <col min="2" max="2" width="47.5703125" style="536" customWidth="1"/>
    <col min="3" max="3" width="13.28515625" style="536" customWidth="1"/>
    <col min="4" max="4" width="16.7109375" style="536" bestFit="1" customWidth="1"/>
    <col min="5" max="5" width="2.7109375" style="536" bestFit="1" customWidth="1"/>
    <col min="6" max="6" width="15.140625" style="536" bestFit="1" customWidth="1"/>
    <col min="7" max="7" width="5.7109375" style="536" customWidth="1"/>
    <col min="8" max="256" width="9.140625" style="536" hidden="1"/>
    <col min="257" max="257" width="4.85546875" style="536" hidden="1"/>
    <col min="258" max="258" width="47.5703125" style="536" hidden="1"/>
    <col min="259" max="259" width="13.28515625" style="536" hidden="1"/>
    <col min="260" max="260" width="16.7109375" style="536" hidden="1"/>
    <col min="261" max="261" width="2.7109375" style="536" hidden="1"/>
    <col min="262" max="262" width="15.140625" style="536" hidden="1"/>
    <col min="263" max="263" width="15.5703125" style="536" hidden="1"/>
    <col min="264" max="512" width="9.140625" style="536" hidden="1"/>
    <col min="513" max="513" width="4.85546875" style="536" hidden="1"/>
    <col min="514" max="514" width="47.5703125" style="536" hidden="1"/>
    <col min="515" max="515" width="13.28515625" style="536" hidden="1"/>
    <col min="516" max="516" width="16.7109375" style="536" hidden="1"/>
    <col min="517" max="517" width="2.7109375" style="536" hidden="1"/>
    <col min="518" max="518" width="15.140625" style="536" hidden="1"/>
    <col min="519" max="519" width="15.5703125" style="536" hidden="1"/>
    <col min="520" max="768" width="9.140625" style="536" hidden="1"/>
    <col min="769" max="769" width="4.85546875" style="536" hidden="1"/>
    <col min="770" max="770" width="47.5703125" style="536" hidden="1"/>
    <col min="771" max="771" width="13.28515625" style="536" hidden="1"/>
    <col min="772" max="772" width="16.7109375" style="536" hidden="1"/>
    <col min="773" max="773" width="2.7109375" style="536" hidden="1"/>
    <col min="774" max="774" width="15.140625" style="536" hidden="1"/>
    <col min="775" max="775" width="15.5703125" style="536" hidden="1"/>
    <col min="776" max="1024" width="9.140625" style="536" hidden="1"/>
    <col min="1025" max="1025" width="4.85546875" style="536" hidden="1"/>
    <col min="1026" max="1026" width="47.5703125" style="536" hidden="1"/>
    <col min="1027" max="1027" width="13.28515625" style="536" hidden="1"/>
    <col min="1028" max="1028" width="16.7109375" style="536" hidden="1"/>
    <col min="1029" max="1029" width="2.7109375" style="536" hidden="1"/>
    <col min="1030" max="1030" width="15.140625" style="536" hidden="1"/>
    <col min="1031" max="1031" width="15.5703125" style="536" hidden="1"/>
    <col min="1032" max="1280" width="9.140625" style="536" hidden="1"/>
    <col min="1281" max="1281" width="4.85546875" style="536" hidden="1"/>
    <col min="1282" max="1282" width="47.5703125" style="536" hidden="1"/>
    <col min="1283" max="1283" width="13.28515625" style="536" hidden="1"/>
    <col min="1284" max="1284" width="16.7109375" style="536" hidden="1"/>
    <col min="1285" max="1285" width="2.7109375" style="536" hidden="1"/>
    <col min="1286" max="1286" width="15.140625" style="536" hidden="1"/>
    <col min="1287" max="1287" width="15.5703125" style="536" hidden="1"/>
    <col min="1288" max="1536" width="9.140625" style="536" hidden="1"/>
    <col min="1537" max="1537" width="4.85546875" style="536" hidden="1"/>
    <col min="1538" max="1538" width="47.5703125" style="536" hidden="1"/>
    <col min="1539" max="1539" width="13.28515625" style="536" hidden="1"/>
    <col min="1540" max="1540" width="16.7109375" style="536" hidden="1"/>
    <col min="1541" max="1541" width="2.7109375" style="536" hidden="1"/>
    <col min="1542" max="1542" width="15.140625" style="536" hidden="1"/>
    <col min="1543" max="1543" width="15.5703125" style="536" hidden="1"/>
    <col min="1544" max="1792" width="9.140625" style="536" hidden="1"/>
    <col min="1793" max="1793" width="4.85546875" style="536" hidden="1"/>
    <col min="1794" max="1794" width="47.5703125" style="536" hidden="1"/>
    <col min="1795" max="1795" width="13.28515625" style="536" hidden="1"/>
    <col min="1796" max="1796" width="16.7109375" style="536" hidden="1"/>
    <col min="1797" max="1797" width="2.7109375" style="536" hidden="1"/>
    <col min="1798" max="1798" width="15.140625" style="536" hidden="1"/>
    <col min="1799" max="1799" width="15.5703125" style="536" hidden="1"/>
    <col min="1800" max="2048" width="9.140625" style="536" hidden="1"/>
    <col min="2049" max="2049" width="4.85546875" style="536" hidden="1"/>
    <col min="2050" max="2050" width="47.5703125" style="536" hidden="1"/>
    <col min="2051" max="2051" width="13.28515625" style="536" hidden="1"/>
    <col min="2052" max="2052" width="16.7109375" style="536" hidden="1"/>
    <col min="2053" max="2053" width="2.7109375" style="536" hidden="1"/>
    <col min="2054" max="2054" width="15.140625" style="536" hidden="1"/>
    <col min="2055" max="2055" width="15.5703125" style="536" hidden="1"/>
    <col min="2056" max="2304" width="9.140625" style="536" hidden="1"/>
    <col min="2305" max="2305" width="4.85546875" style="536" hidden="1"/>
    <col min="2306" max="2306" width="47.5703125" style="536" hidden="1"/>
    <col min="2307" max="2307" width="13.28515625" style="536" hidden="1"/>
    <col min="2308" max="2308" width="16.7109375" style="536" hidden="1"/>
    <col min="2309" max="2309" width="2.7109375" style="536" hidden="1"/>
    <col min="2310" max="2310" width="15.140625" style="536" hidden="1"/>
    <col min="2311" max="2311" width="15.5703125" style="536" hidden="1"/>
    <col min="2312" max="2560" width="9.140625" style="536" hidden="1"/>
    <col min="2561" max="2561" width="4.85546875" style="536" hidden="1"/>
    <col min="2562" max="2562" width="47.5703125" style="536" hidden="1"/>
    <col min="2563" max="2563" width="13.28515625" style="536" hidden="1"/>
    <col min="2564" max="2564" width="16.7109375" style="536" hidden="1"/>
    <col min="2565" max="2565" width="2.7109375" style="536" hidden="1"/>
    <col min="2566" max="2566" width="15.140625" style="536" hidden="1"/>
    <col min="2567" max="2567" width="15.5703125" style="536" hidden="1"/>
    <col min="2568" max="2816" width="9.140625" style="536" hidden="1"/>
    <col min="2817" max="2817" width="4.85546875" style="536" hidden="1"/>
    <col min="2818" max="2818" width="47.5703125" style="536" hidden="1"/>
    <col min="2819" max="2819" width="13.28515625" style="536" hidden="1"/>
    <col min="2820" max="2820" width="16.7109375" style="536" hidden="1"/>
    <col min="2821" max="2821" width="2.7109375" style="536" hidden="1"/>
    <col min="2822" max="2822" width="15.140625" style="536" hidden="1"/>
    <col min="2823" max="2823" width="15.5703125" style="536" hidden="1"/>
    <col min="2824" max="3072" width="9.140625" style="536" hidden="1"/>
    <col min="3073" max="3073" width="4.85546875" style="536" hidden="1"/>
    <col min="3074" max="3074" width="47.5703125" style="536" hidden="1"/>
    <col min="3075" max="3075" width="13.28515625" style="536" hidden="1"/>
    <col min="3076" max="3076" width="16.7109375" style="536" hidden="1"/>
    <col min="3077" max="3077" width="2.7109375" style="536" hidden="1"/>
    <col min="3078" max="3078" width="15.140625" style="536" hidden="1"/>
    <col min="3079" max="3079" width="15.5703125" style="536" hidden="1"/>
    <col min="3080" max="3328" width="9.140625" style="536" hidden="1"/>
    <col min="3329" max="3329" width="4.85546875" style="536" hidden="1"/>
    <col min="3330" max="3330" width="47.5703125" style="536" hidden="1"/>
    <col min="3331" max="3331" width="13.28515625" style="536" hidden="1"/>
    <col min="3332" max="3332" width="16.7109375" style="536" hidden="1"/>
    <col min="3333" max="3333" width="2.7109375" style="536" hidden="1"/>
    <col min="3334" max="3334" width="15.140625" style="536" hidden="1"/>
    <col min="3335" max="3335" width="15.5703125" style="536" hidden="1"/>
    <col min="3336" max="3584" width="9.140625" style="536" hidden="1"/>
    <col min="3585" max="3585" width="4.85546875" style="536" hidden="1"/>
    <col min="3586" max="3586" width="47.5703125" style="536" hidden="1"/>
    <col min="3587" max="3587" width="13.28515625" style="536" hidden="1"/>
    <col min="3588" max="3588" width="16.7109375" style="536" hidden="1"/>
    <col min="3589" max="3589" width="2.7109375" style="536" hidden="1"/>
    <col min="3590" max="3590" width="15.140625" style="536" hidden="1"/>
    <col min="3591" max="3591" width="15.5703125" style="536" hidden="1"/>
    <col min="3592" max="3840" width="9.140625" style="536" hidden="1"/>
    <col min="3841" max="3841" width="4.85546875" style="536" hidden="1"/>
    <col min="3842" max="3842" width="47.5703125" style="536" hidden="1"/>
    <col min="3843" max="3843" width="13.28515625" style="536" hidden="1"/>
    <col min="3844" max="3844" width="16.7109375" style="536" hidden="1"/>
    <col min="3845" max="3845" width="2.7109375" style="536" hidden="1"/>
    <col min="3846" max="3846" width="15.140625" style="536" hidden="1"/>
    <col min="3847" max="3847" width="15.5703125" style="536" hidden="1"/>
    <col min="3848" max="4096" width="9.140625" style="536" hidden="1"/>
    <col min="4097" max="4097" width="4.85546875" style="536" hidden="1"/>
    <col min="4098" max="4098" width="47.5703125" style="536" hidden="1"/>
    <col min="4099" max="4099" width="13.28515625" style="536" hidden="1"/>
    <col min="4100" max="4100" width="16.7109375" style="536" hidden="1"/>
    <col min="4101" max="4101" width="2.7109375" style="536" hidden="1"/>
    <col min="4102" max="4102" width="15.140625" style="536" hidden="1"/>
    <col min="4103" max="4103" width="15.5703125" style="536" hidden="1"/>
    <col min="4104" max="4352" width="9.140625" style="536" hidden="1"/>
    <col min="4353" max="4353" width="4.85546875" style="536" hidden="1"/>
    <col min="4354" max="4354" width="47.5703125" style="536" hidden="1"/>
    <col min="4355" max="4355" width="13.28515625" style="536" hidden="1"/>
    <col min="4356" max="4356" width="16.7109375" style="536" hidden="1"/>
    <col min="4357" max="4357" width="2.7109375" style="536" hidden="1"/>
    <col min="4358" max="4358" width="15.140625" style="536" hidden="1"/>
    <col min="4359" max="4359" width="15.5703125" style="536" hidden="1"/>
    <col min="4360" max="4608" width="9.140625" style="536" hidden="1"/>
    <col min="4609" max="4609" width="4.85546875" style="536" hidden="1"/>
    <col min="4610" max="4610" width="47.5703125" style="536" hidden="1"/>
    <col min="4611" max="4611" width="13.28515625" style="536" hidden="1"/>
    <col min="4612" max="4612" width="16.7109375" style="536" hidden="1"/>
    <col min="4613" max="4613" width="2.7109375" style="536" hidden="1"/>
    <col min="4614" max="4614" width="15.140625" style="536" hidden="1"/>
    <col min="4615" max="4615" width="15.5703125" style="536" hidden="1"/>
    <col min="4616" max="4864" width="9.140625" style="536" hidden="1"/>
    <col min="4865" max="4865" width="4.85546875" style="536" hidden="1"/>
    <col min="4866" max="4866" width="47.5703125" style="536" hidden="1"/>
    <col min="4867" max="4867" width="13.28515625" style="536" hidden="1"/>
    <col min="4868" max="4868" width="16.7109375" style="536" hidden="1"/>
    <col min="4869" max="4869" width="2.7109375" style="536" hidden="1"/>
    <col min="4870" max="4870" width="15.140625" style="536" hidden="1"/>
    <col min="4871" max="4871" width="15.5703125" style="536" hidden="1"/>
    <col min="4872" max="5120" width="9.140625" style="536" hidden="1"/>
    <col min="5121" max="5121" width="4.85546875" style="536" hidden="1"/>
    <col min="5122" max="5122" width="47.5703125" style="536" hidden="1"/>
    <col min="5123" max="5123" width="13.28515625" style="536" hidden="1"/>
    <col min="5124" max="5124" width="16.7109375" style="536" hidden="1"/>
    <col min="5125" max="5125" width="2.7109375" style="536" hidden="1"/>
    <col min="5126" max="5126" width="15.140625" style="536" hidden="1"/>
    <col min="5127" max="5127" width="15.5703125" style="536" hidden="1"/>
    <col min="5128" max="5376" width="9.140625" style="536" hidden="1"/>
    <col min="5377" max="5377" width="4.85546875" style="536" hidden="1"/>
    <col min="5378" max="5378" width="47.5703125" style="536" hidden="1"/>
    <col min="5379" max="5379" width="13.28515625" style="536" hidden="1"/>
    <col min="5380" max="5380" width="16.7109375" style="536" hidden="1"/>
    <col min="5381" max="5381" width="2.7109375" style="536" hidden="1"/>
    <col min="5382" max="5382" width="15.140625" style="536" hidden="1"/>
    <col min="5383" max="5383" width="15.5703125" style="536" hidden="1"/>
    <col min="5384" max="5632" width="9.140625" style="536" hidden="1"/>
    <col min="5633" max="5633" width="4.85546875" style="536" hidden="1"/>
    <col min="5634" max="5634" width="47.5703125" style="536" hidden="1"/>
    <col min="5635" max="5635" width="13.28515625" style="536" hidden="1"/>
    <col min="5636" max="5636" width="16.7109375" style="536" hidden="1"/>
    <col min="5637" max="5637" width="2.7109375" style="536" hidden="1"/>
    <col min="5638" max="5638" width="15.140625" style="536" hidden="1"/>
    <col min="5639" max="5639" width="15.5703125" style="536" hidden="1"/>
    <col min="5640" max="5888" width="9.140625" style="536" hidden="1"/>
    <col min="5889" max="5889" width="4.85546875" style="536" hidden="1"/>
    <col min="5890" max="5890" width="47.5703125" style="536" hidden="1"/>
    <col min="5891" max="5891" width="13.28515625" style="536" hidden="1"/>
    <col min="5892" max="5892" width="16.7109375" style="536" hidden="1"/>
    <col min="5893" max="5893" width="2.7109375" style="536" hidden="1"/>
    <col min="5894" max="5894" width="15.140625" style="536" hidden="1"/>
    <col min="5895" max="5895" width="15.5703125" style="536" hidden="1"/>
    <col min="5896" max="6144" width="9.140625" style="536" hidden="1"/>
    <col min="6145" max="6145" width="4.85546875" style="536" hidden="1"/>
    <col min="6146" max="6146" width="47.5703125" style="536" hidden="1"/>
    <col min="6147" max="6147" width="13.28515625" style="536" hidden="1"/>
    <col min="6148" max="6148" width="16.7109375" style="536" hidden="1"/>
    <col min="6149" max="6149" width="2.7109375" style="536" hidden="1"/>
    <col min="6150" max="6150" width="15.140625" style="536" hidden="1"/>
    <col min="6151" max="6151" width="15.5703125" style="536" hidden="1"/>
    <col min="6152" max="6400" width="9.140625" style="536" hidden="1"/>
    <col min="6401" max="6401" width="4.85546875" style="536" hidden="1"/>
    <col min="6402" max="6402" width="47.5703125" style="536" hidden="1"/>
    <col min="6403" max="6403" width="13.28515625" style="536" hidden="1"/>
    <col min="6404" max="6404" width="16.7109375" style="536" hidden="1"/>
    <col min="6405" max="6405" width="2.7109375" style="536" hidden="1"/>
    <col min="6406" max="6406" width="15.140625" style="536" hidden="1"/>
    <col min="6407" max="6407" width="15.5703125" style="536" hidden="1"/>
    <col min="6408" max="6656" width="9.140625" style="536" hidden="1"/>
    <col min="6657" max="6657" width="4.85546875" style="536" hidden="1"/>
    <col min="6658" max="6658" width="47.5703125" style="536" hidden="1"/>
    <col min="6659" max="6659" width="13.28515625" style="536" hidden="1"/>
    <col min="6660" max="6660" width="16.7109375" style="536" hidden="1"/>
    <col min="6661" max="6661" width="2.7109375" style="536" hidden="1"/>
    <col min="6662" max="6662" width="15.140625" style="536" hidden="1"/>
    <col min="6663" max="6663" width="15.5703125" style="536" hidden="1"/>
    <col min="6664" max="6912" width="9.140625" style="536" hidden="1"/>
    <col min="6913" max="6913" width="4.85546875" style="536" hidden="1"/>
    <col min="6914" max="6914" width="47.5703125" style="536" hidden="1"/>
    <col min="6915" max="6915" width="13.28515625" style="536" hidden="1"/>
    <col min="6916" max="6916" width="16.7109375" style="536" hidden="1"/>
    <col min="6917" max="6917" width="2.7109375" style="536" hidden="1"/>
    <col min="6918" max="6918" width="15.140625" style="536" hidden="1"/>
    <col min="6919" max="6919" width="15.5703125" style="536" hidden="1"/>
    <col min="6920" max="7168" width="9.140625" style="536" hidden="1"/>
    <col min="7169" max="7169" width="4.85546875" style="536" hidden="1"/>
    <col min="7170" max="7170" width="47.5703125" style="536" hidden="1"/>
    <col min="7171" max="7171" width="13.28515625" style="536" hidden="1"/>
    <col min="7172" max="7172" width="16.7109375" style="536" hidden="1"/>
    <col min="7173" max="7173" width="2.7109375" style="536" hidden="1"/>
    <col min="7174" max="7174" width="15.140625" style="536" hidden="1"/>
    <col min="7175" max="7175" width="15.5703125" style="536" hidden="1"/>
    <col min="7176" max="7424" width="9.140625" style="536" hidden="1"/>
    <col min="7425" max="7425" width="4.85546875" style="536" hidden="1"/>
    <col min="7426" max="7426" width="47.5703125" style="536" hidden="1"/>
    <col min="7427" max="7427" width="13.28515625" style="536" hidden="1"/>
    <col min="7428" max="7428" width="16.7109375" style="536" hidden="1"/>
    <col min="7429" max="7429" width="2.7109375" style="536" hidden="1"/>
    <col min="7430" max="7430" width="15.140625" style="536" hidden="1"/>
    <col min="7431" max="7431" width="15.5703125" style="536" hidden="1"/>
    <col min="7432" max="7680" width="9.140625" style="536" hidden="1"/>
    <col min="7681" max="7681" width="4.85546875" style="536" hidden="1"/>
    <col min="7682" max="7682" width="47.5703125" style="536" hidden="1"/>
    <col min="7683" max="7683" width="13.28515625" style="536" hidden="1"/>
    <col min="7684" max="7684" width="16.7109375" style="536" hidden="1"/>
    <col min="7685" max="7685" width="2.7109375" style="536" hidden="1"/>
    <col min="7686" max="7686" width="15.140625" style="536" hidden="1"/>
    <col min="7687" max="7687" width="15.5703125" style="536" hidden="1"/>
    <col min="7688" max="7936" width="9.140625" style="536" hidden="1"/>
    <col min="7937" max="7937" width="4.85546875" style="536" hidden="1"/>
    <col min="7938" max="7938" width="47.5703125" style="536" hidden="1"/>
    <col min="7939" max="7939" width="13.28515625" style="536" hidden="1"/>
    <col min="7940" max="7940" width="16.7109375" style="536" hidden="1"/>
    <col min="7941" max="7941" width="2.7109375" style="536" hidden="1"/>
    <col min="7942" max="7942" width="15.140625" style="536" hidden="1"/>
    <col min="7943" max="7943" width="15.5703125" style="536" hidden="1"/>
    <col min="7944" max="8192" width="9.140625" style="536" hidden="1"/>
    <col min="8193" max="8193" width="4.85546875" style="536" hidden="1"/>
    <col min="8194" max="8194" width="47.5703125" style="536" hidden="1"/>
    <col min="8195" max="8195" width="13.28515625" style="536" hidden="1"/>
    <col min="8196" max="8196" width="16.7109375" style="536" hidden="1"/>
    <col min="8197" max="8197" width="2.7109375" style="536" hidden="1"/>
    <col min="8198" max="8198" width="15.140625" style="536" hidden="1"/>
    <col min="8199" max="8199" width="15.5703125" style="536" hidden="1"/>
    <col min="8200" max="8448" width="9.140625" style="536" hidden="1"/>
    <col min="8449" max="8449" width="4.85546875" style="536" hidden="1"/>
    <col min="8450" max="8450" width="47.5703125" style="536" hidden="1"/>
    <col min="8451" max="8451" width="13.28515625" style="536" hidden="1"/>
    <col min="8452" max="8452" width="16.7109375" style="536" hidden="1"/>
    <col min="8453" max="8453" width="2.7109375" style="536" hidden="1"/>
    <col min="8454" max="8454" width="15.140625" style="536" hidden="1"/>
    <col min="8455" max="8455" width="15.5703125" style="536" hidden="1"/>
    <col min="8456" max="8704" width="9.140625" style="536" hidden="1"/>
    <col min="8705" max="8705" width="4.85546875" style="536" hidden="1"/>
    <col min="8706" max="8706" width="47.5703125" style="536" hidden="1"/>
    <col min="8707" max="8707" width="13.28515625" style="536" hidden="1"/>
    <col min="8708" max="8708" width="16.7109375" style="536" hidden="1"/>
    <col min="8709" max="8709" width="2.7109375" style="536" hidden="1"/>
    <col min="8710" max="8710" width="15.140625" style="536" hidden="1"/>
    <col min="8711" max="8711" width="15.5703125" style="536" hidden="1"/>
    <col min="8712" max="8960" width="9.140625" style="536" hidden="1"/>
    <col min="8961" max="8961" width="4.85546875" style="536" hidden="1"/>
    <col min="8962" max="8962" width="47.5703125" style="536" hidden="1"/>
    <col min="8963" max="8963" width="13.28515625" style="536" hidden="1"/>
    <col min="8964" max="8964" width="16.7109375" style="536" hidden="1"/>
    <col min="8965" max="8965" width="2.7109375" style="536" hidden="1"/>
    <col min="8966" max="8966" width="15.140625" style="536" hidden="1"/>
    <col min="8967" max="8967" width="15.5703125" style="536" hidden="1"/>
    <col min="8968" max="9216" width="9.140625" style="536" hidden="1"/>
    <col min="9217" max="9217" width="4.85546875" style="536" hidden="1"/>
    <col min="9218" max="9218" width="47.5703125" style="536" hidden="1"/>
    <col min="9219" max="9219" width="13.28515625" style="536" hidden="1"/>
    <col min="9220" max="9220" width="16.7109375" style="536" hidden="1"/>
    <col min="9221" max="9221" width="2.7109375" style="536" hidden="1"/>
    <col min="9222" max="9222" width="15.140625" style="536" hidden="1"/>
    <col min="9223" max="9223" width="15.5703125" style="536" hidden="1"/>
    <col min="9224" max="9472" width="9.140625" style="536" hidden="1"/>
    <col min="9473" max="9473" width="4.85546875" style="536" hidden="1"/>
    <col min="9474" max="9474" width="47.5703125" style="536" hidden="1"/>
    <col min="9475" max="9475" width="13.28515625" style="536" hidden="1"/>
    <col min="9476" max="9476" width="16.7109375" style="536" hidden="1"/>
    <col min="9477" max="9477" width="2.7109375" style="536" hidden="1"/>
    <col min="9478" max="9478" width="15.140625" style="536" hidden="1"/>
    <col min="9479" max="9479" width="15.5703125" style="536" hidden="1"/>
    <col min="9480" max="9728" width="9.140625" style="536" hidden="1"/>
    <col min="9729" max="9729" width="4.85546875" style="536" hidden="1"/>
    <col min="9730" max="9730" width="47.5703125" style="536" hidden="1"/>
    <col min="9731" max="9731" width="13.28515625" style="536" hidden="1"/>
    <col min="9732" max="9732" width="16.7109375" style="536" hidden="1"/>
    <col min="9733" max="9733" width="2.7109375" style="536" hidden="1"/>
    <col min="9734" max="9734" width="15.140625" style="536" hidden="1"/>
    <col min="9735" max="9735" width="15.5703125" style="536" hidden="1"/>
    <col min="9736" max="9984" width="9.140625" style="536" hidden="1"/>
    <col min="9985" max="9985" width="4.85546875" style="536" hidden="1"/>
    <col min="9986" max="9986" width="47.5703125" style="536" hidden="1"/>
    <col min="9987" max="9987" width="13.28515625" style="536" hidden="1"/>
    <col min="9988" max="9988" width="16.7109375" style="536" hidden="1"/>
    <col min="9989" max="9989" width="2.7109375" style="536" hidden="1"/>
    <col min="9990" max="9990" width="15.140625" style="536" hidden="1"/>
    <col min="9991" max="9991" width="15.5703125" style="536" hidden="1"/>
    <col min="9992" max="10240" width="9.140625" style="536" hidden="1"/>
    <col min="10241" max="10241" width="4.85546875" style="536" hidden="1"/>
    <col min="10242" max="10242" width="47.5703125" style="536" hidden="1"/>
    <col min="10243" max="10243" width="13.28515625" style="536" hidden="1"/>
    <col min="10244" max="10244" width="16.7109375" style="536" hidden="1"/>
    <col min="10245" max="10245" width="2.7109375" style="536" hidden="1"/>
    <col min="10246" max="10246" width="15.140625" style="536" hidden="1"/>
    <col min="10247" max="10247" width="15.5703125" style="536" hidden="1"/>
    <col min="10248" max="10496" width="9.140625" style="536" hidden="1"/>
    <col min="10497" max="10497" width="4.85546875" style="536" hidden="1"/>
    <col min="10498" max="10498" width="47.5703125" style="536" hidden="1"/>
    <col min="10499" max="10499" width="13.28515625" style="536" hidden="1"/>
    <col min="10500" max="10500" width="16.7109375" style="536" hidden="1"/>
    <col min="10501" max="10501" width="2.7109375" style="536" hidden="1"/>
    <col min="10502" max="10502" width="15.140625" style="536" hidden="1"/>
    <col min="10503" max="10503" width="15.5703125" style="536" hidden="1"/>
    <col min="10504" max="10752" width="9.140625" style="536" hidden="1"/>
    <col min="10753" max="10753" width="4.85546875" style="536" hidden="1"/>
    <col min="10754" max="10754" width="47.5703125" style="536" hidden="1"/>
    <col min="10755" max="10755" width="13.28515625" style="536" hidden="1"/>
    <col min="10756" max="10756" width="16.7109375" style="536" hidden="1"/>
    <col min="10757" max="10757" width="2.7109375" style="536" hidden="1"/>
    <col min="10758" max="10758" width="15.140625" style="536" hidden="1"/>
    <col min="10759" max="10759" width="15.5703125" style="536" hidden="1"/>
    <col min="10760" max="11008" width="9.140625" style="536" hidden="1"/>
    <col min="11009" max="11009" width="4.85546875" style="536" hidden="1"/>
    <col min="11010" max="11010" width="47.5703125" style="536" hidden="1"/>
    <col min="11011" max="11011" width="13.28515625" style="536" hidden="1"/>
    <col min="11012" max="11012" width="16.7109375" style="536" hidden="1"/>
    <col min="11013" max="11013" width="2.7109375" style="536" hidden="1"/>
    <col min="11014" max="11014" width="15.140625" style="536" hidden="1"/>
    <col min="11015" max="11015" width="15.5703125" style="536" hidden="1"/>
    <col min="11016" max="11264" width="9.140625" style="536" hidden="1"/>
    <col min="11265" max="11265" width="4.85546875" style="536" hidden="1"/>
    <col min="11266" max="11266" width="47.5703125" style="536" hidden="1"/>
    <col min="11267" max="11267" width="13.28515625" style="536" hidden="1"/>
    <col min="11268" max="11268" width="16.7109375" style="536" hidden="1"/>
    <col min="11269" max="11269" width="2.7109375" style="536" hidden="1"/>
    <col min="11270" max="11270" width="15.140625" style="536" hidden="1"/>
    <col min="11271" max="11271" width="15.5703125" style="536" hidden="1"/>
    <col min="11272" max="11520" width="9.140625" style="536" hidden="1"/>
    <col min="11521" max="11521" width="4.85546875" style="536" hidden="1"/>
    <col min="11522" max="11522" width="47.5703125" style="536" hidden="1"/>
    <col min="11523" max="11523" width="13.28515625" style="536" hidden="1"/>
    <col min="11524" max="11524" width="16.7109375" style="536" hidden="1"/>
    <col min="11525" max="11525" width="2.7109375" style="536" hidden="1"/>
    <col min="11526" max="11526" width="15.140625" style="536" hidden="1"/>
    <col min="11527" max="11527" width="15.5703125" style="536" hidden="1"/>
    <col min="11528" max="11776" width="9.140625" style="536" hidden="1"/>
    <col min="11777" max="11777" width="4.85546875" style="536" hidden="1"/>
    <col min="11778" max="11778" width="47.5703125" style="536" hidden="1"/>
    <col min="11779" max="11779" width="13.28515625" style="536" hidden="1"/>
    <col min="11780" max="11780" width="16.7109375" style="536" hidden="1"/>
    <col min="11781" max="11781" width="2.7109375" style="536" hidden="1"/>
    <col min="11782" max="11782" width="15.140625" style="536" hidden="1"/>
    <col min="11783" max="11783" width="15.5703125" style="536" hidden="1"/>
    <col min="11784" max="12032" width="9.140625" style="536" hidden="1"/>
    <col min="12033" max="12033" width="4.85546875" style="536" hidden="1"/>
    <col min="12034" max="12034" width="47.5703125" style="536" hidden="1"/>
    <col min="12035" max="12035" width="13.28515625" style="536" hidden="1"/>
    <col min="12036" max="12036" width="16.7109375" style="536" hidden="1"/>
    <col min="12037" max="12037" width="2.7109375" style="536" hidden="1"/>
    <col min="12038" max="12038" width="15.140625" style="536" hidden="1"/>
    <col min="12039" max="12039" width="15.5703125" style="536" hidden="1"/>
    <col min="12040" max="12288" width="9.140625" style="536" hidden="1"/>
    <col min="12289" max="12289" width="4.85546875" style="536" hidden="1"/>
    <col min="12290" max="12290" width="47.5703125" style="536" hidden="1"/>
    <col min="12291" max="12291" width="13.28515625" style="536" hidden="1"/>
    <col min="12292" max="12292" width="16.7109375" style="536" hidden="1"/>
    <col min="12293" max="12293" width="2.7109375" style="536" hidden="1"/>
    <col min="12294" max="12294" width="15.140625" style="536" hidden="1"/>
    <col min="12295" max="12295" width="15.5703125" style="536" hidden="1"/>
    <col min="12296" max="12544" width="9.140625" style="536" hidden="1"/>
    <col min="12545" max="12545" width="4.85546875" style="536" hidden="1"/>
    <col min="12546" max="12546" width="47.5703125" style="536" hidden="1"/>
    <col min="12547" max="12547" width="13.28515625" style="536" hidden="1"/>
    <col min="12548" max="12548" width="16.7109375" style="536" hidden="1"/>
    <col min="12549" max="12549" width="2.7109375" style="536" hidden="1"/>
    <col min="12550" max="12550" width="15.140625" style="536" hidden="1"/>
    <col min="12551" max="12551" width="15.5703125" style="536" hidden="1"/>
    <col min="12552" max="12800" width="9.140625" style="536" hidden="1"/>
    <col min="12801" max="12801" width="4.85546875" style="536" hidden="1"/>
    <col min="12802" max="12802" width="47.5703125" style="536" hidden="1"/>
    <col min="12803" max="12803" width="13.28515625" style="536" hidden="1"/>
    <col min="12804" max="12804" width="16.7109375" style="536" hidden="1"/>
    <col min="12805" max="12805" width="2.7109375" style="536" hidden="1"/>
    <col min="12806" max="12806" width="15.140625" style="536" hidden="1"/>
    <col min="12807" max="12807" width="15.5703125" style="536" hidden="1"/>
    <col min="12808" max="13056" width="9.140625" style="536" hidden="1"/>
    <col min="13057" max="13057" width="4.85546875" style="536" hidden="1"/>
    <col min="13058" max="13058" width="47.5703125" style="536" hidden="1"/>
    <col min="13059" max="13059" width="13.28515625" style="536" hidden="1"/>
    <col min="13060" max="13060" width="16.7109375" style="536" hidden="1"/>
    <col min="13061" max="13061" width="2.7109375" style="536" hidden="1"/>
    <col min="13062" max="13062" width="15.140625" style="536" hidden="1"/>
    <col min="13063" max="13063" width="15.5703125" style="536" hidden="1"/>
    <col min="13064" max="13312" width="9.140625" style="536" hidden="1"/>
    <col min="13313" max="13313" width="4.85546875" style="536" hidden="1"/>
    <col min="13314" max="13314" width="47.5703125" style="536" hidden="1"/>
    <col min="13315" max="13315" width="13.28515625" style="536" hidden="1"/>
    <col min="13316" max="13316" width="16.7109375" style="536" hidden="1"/>
    <col min="13317" max="13317" width="2.7109375" style="536" hidden="1"/>
    <col min="13318" max="13318" width="15.140625" style="536" hidden="1"/>
    <col min="13319" max="13319" width="15.5703125" style="536" hidden="1"/>
    <col min="13320" max="13568" width="9.140625" style="536" hidden="1"/>
    <col min="13569" max="13569" width="4.85546875" style="536" hidden="1"/>
    <col min="13570" max="13570" width="47.5703125" style="536" hidden="1"/>
    <col min="13571" max="13571" width="13.28515625" style="536" hidden="1"/>
    <col min="13572" max="13572" width="16.7109375" style="536" hidden="1"/>
    <col min="13573" max="13573" width="2.7109375" style="536" hidden="1"/>
    <col min="13574" max="13574" width="15.140625" style="536" hidden="1"/>
    <col min="13575" max="13575" width="15.5703125" style="536" hidden="1"/>
    <col min="13576" max="13824" width="9.140625" style="536" hidden="1"/>
    <col min="13825" max="13825" width="4.85546875" style="536" hidden="1"/>
    <col min="13826" max="13826" width="47.5703125" style="536" hidden="1"/>
    <col min="13827" max="13827" width="13.28515625" style="536" hidden="1"/>
    <col min="13828" max="13828" width="16.7109375" style="536" hidden="1"/>
    <col min="13829" max="13829" width="2.7109375" style="536" hidden="1"/>
    <col min="13830" max="13830" width="15.140625" style="536" hidden="1"/>
    <col min="13831" max="13831" width="15.5703125" style="536" hidden="1"/>
    <col min="13832" max="14080" width="9.140625" style="536" hidden="1"/>
    <col min="14081" max="14081" width="4.85546875" style="536" hidden="1"/>
    <col min="14082" max="14082" width="47.5703125" style="536" hidden="1"/>
    <col min="14083" max="14083" width="13.28515625" style="536" hidden="1"/>
    <col min="14084" max="14084" width="16.7109375" style="536" hidden="1"/>
    <col min="14085" max="14085" width="2.7109375" style="536" hidden="1"/>
    <col min="14086" max="14086" width="15.140625" style="536" hidden="1"/>
    <col min="14087" max="14087" width="15.5703125" style="536" hidden="1"/>
    <col min="14088" max="14336" width="9.140625" style="536" hidden="1"/>
    <col min="14337" max="14337" width="4.85546875" style="536" hidden="1"/>
    <col min="14338" max="14338" width="47.5703125" style="536" hidden="1"/>
    <col min="14339" max="14339" width="13.28515625" style="536" hidden="1"/>
    <col min="14340" max="14340" width="16.7109375" style="536" hidden="1"/>
    <col min="14341" max="14341" width="2.7109375" style="536" hidden="1"/>
    <col min="14342" max="14342" width="15.140625" style="536" hidden="1"/>
    <col min="14343" max="14343" width="15.5703125" style="536" hidden="1"/>
    <col min="14344" max="14592" width="9.140625" style="536" hidden="1"/>
    <col min="14593" max="14593" width="4.85546875" style="536" hidden="1"/>
    <col min="14594" max="14594" width="47.5703125" style="536" hidden="1"/>
    <col min="14595" max="14595" width="13.28515625" style="536" hidden="1"/>
    <col min="14596" max="14596" width="16.7109375" style="536" hidden="1"/>
    <col min="14597" max="14597" width="2.7109375" style="536" hidden="1"/>
    <col min="14598" max="14598" width="15.140625" style="536" hidden="1"/>
    <col min="14599" max="14599" width="15.5703125" style="536" hidden="1"/>
    <col min="14600" max="14848" width="9.140625" style="536" hidden="1"/>
    <col min="14849" max="14849" width="4.85546875" style="536" hidden="1"/>
    <col min="14850" max="14850" width="47.5703125" style="536" hidden="1"/>
    <col min="14851" max="14851" width="13.28515625" style="536" hidden="1"/>
    <col min="14852" max="14852" width="16.7109375" style="536" hidden="1"/>
    <col min="14853" max="14853" width="2.7109375" style="536" hidden="1"/>
    <col min="14854" max="14854" width="15.140625" style="536" hidden="1"/>
    <col min="14855" max="14855" width="15.5703125" style="536" hidden="1"/>
    <col min="14856" max="15104" width="9.140625" style="536" hidden="1"/>
    <col min="15105" max="15105" width="4.85546875" style="536" hidden="1"/>
    <col min="15106" max="15106" width="47.5703125" style="536" hidden="1"/>
    <col min="15107" max="15107" width="13.28515625" style="536" hidden="1"/>
    <col min="15108" max="15108" width="16.7109375" style="536" hidden="1"/>
    <col min="15109" max="15109" width="2.7109375" style="536" hidden="1"/>
    <col min="15110" max="15110" width="15.140625" style="536" hidden="1"/>
    <col min="15111" max="15111" width="15.5703125" style="536" hidden="1"/>
    <col min="15112" max="15360" width="9.140625" style="536" hidden="1"/>
    <col min="15361" max="15361" width="4.85546875" style="536" hidden="1"/>
    <col min="15362" max="15362" width="47.5703125" style="536" hidden="1"/>
    <col min="15363" max="15363" width="13.28515625" style="536" hidden="1"/>
    <col min="15364" max="15364" width="16.7109375" style="536" hidden="1"/>
    <col min="15365" max="15365" width="2.7109375" style="536" hidden="1"/>
    <col min="15366" max="15366" width="15.140625" style="536" hidden="1"/>
    <col min="15367" max="15367" width="15.5703125" style="536" hidden="1"/>
    <col min="15368" max="15616" width="9.140625" style="536" hidden="1"/>
    <col min="15617" max="15617" width="4.85546875" style="536" hidden="1"/>
    <col min="15618" max="15618" width="47.5703125" style="536" hidden="1"/>
    <col min="15619" max="15619" width="13.28515625" style="536" hidden="1"/>
    <col min="15620" max="15620" width="16.7109375" style="536" hidden="1"/>
    <col min="15621" max="15621" width="2.7109375" style="536" hidden="1"/>
    <col min="15622" max="15622" width="15.140625" style="536" hidden="1"/>
    <col min="15623" max="15623" width="15.5703125" style="536" hidden="1"/>
    <col min="15624" max="15872" width="9.140625" style="536" hidden="1"/>
    <col min="15873" max="15873" width="4.85546875" style="536" hidden="1"/>
    <col min="15874" max="15874" width="47.5703125" style="536" hidden="1"/>
    <col min="15875" max="15875" width="13.28515625" style="536" hidden="1"/>
    <col min="15876" max="15876" width="16.7109375" style="536" hidden="1"/>
    <col min="15877" max="15877" width="2.7109375" style="536" hidden="1"/>
    <col min="15878" max="15878" width="15.140625" style="536" hidden="1"/>
    <col min="15879" max="15879" width="15.5703125" style="536" hidden="1"/>
    <col min="15880" max="16128" width="9.140625" style="536" hidden="1"/>
    <col min="16129" max="16129" width="4.85546875" style="536" hidden="1"/>
    <col min="16130" max="16130" width="47.5703125" style="536" hidden="1"/>
    <col min="16131" max="16131" width="13.28515625" style="536" hidden="1"/>
    <col min="16132" max="16132" width="16.7109375" style="536" hidden="1"/>
    <col min="16133" max="16133" width="2.7109375" style="536" hidden="1"/>
    <col min="16134" max="16134" width="15.140625" style="536" hidden="1"/>
    <col min="16135" max="16135" width="15.5703125" style="536" hidden="1"/>
    <col min="16136" max="16384" width="9.140625" style="536" hidden="1"/>
  </cols>
  <sheetData>
    <row r="1" spans="1:6" s="1" customFormat="1" ht="14.25" customHeight="1" x14ac:dyDescent="0.2">
      <c r="A1" s="597" t="s">
        <v>266</v>
      </c>
      <c r="B1" s="597"/>
      <c r="D1" s="12"/>
      <c r="E1" s="12"/>
      <c r="F1" s="12"/>
    </row>
    <row r="2" spans="1:6" s="7" customFormat="1" x14ac:dyDescent="0.2">
      <c r="A2" s="231"/>
      <c r="B2" s="232"/>
      <c r="C2" s="233"/>
      <c r="D2" s="234"/>
      <c r="E2" s="234"/>
      <c r="F2" s="235"/>
    </row>
    <row r="3" spans="1:6" s="7" customFormat="1" ht="13.5" thickBot="1" x14ac:dyDescent="0.25">
      <c r="A3" s="236"/>
      <c r="B3" s="6"/>
      <c r="C3" s="578" t="s">
        <v>18</v>
      </c>
      <c r="D3" s="576" t="s">
        <v>85</v>
      </c>
      <c r="E3" s="577" t="s">
        <v>4</v>
      </c>
      <c r="F3" s="576" t="s">
        <v>86</v>
      </c>
    </row>
    <row r="4" spans="1:6" s="7" customFormat="1" ht="15" customHeight="1" thickBot="1" x14ac:dyDescent="0.25">
      <c r="A4" s="241"/>
      <c r="B4" s="352" t="s">
        <v>26</v>
      </c>
      <c r="C4" s="401" t="s">
        <v>27</v>
      </c>
      <c r="D4" s="403" t="s">
        <v>85</v>
      </c>
      <c r="E4" s="405"/>
      <c r="F4" s="402"/>
    </row>
    <row r="5" spans="1:6" s="7" customFormat="1" ht="15" customHeight="1" x14ac:dyDescent="0.2">
      <c r="A5" s="241"/>
      <c r="B5" s="6" t="s">
        <v>31</v>
      </c>
      <c r="C5" s="276">
        <f>'Development by Block'!AD9+'Development by Block'!AD10</f>
        <v>0</v>
      </c>
      <c r="D5" s="277">
        <v>350</v>
      </c>
      <c r="E5" s="276"/>
      <c r="F5" s="278">
        <f>ROUND(C5/D5,-1)</f>
        <v>0</v>
      </c>
    </row>
    <row r="6" spans="1:6" s="7" customFormat="1" ht="15" customHeight="1" x14ac:dyDescent="0.2">
      <c r="A6" s="241"/>
      <c r="B6" s="6" t="s">
        <v>33</v>
      </c>
      <c r="C6" s="276">
        <f>'Development by Block'!AD11</f>
        <v>0</v>
      </c>
      <c r="D6" s="277">
        <v>350</v>
      </c>
      <c r="E6" s="276"/>
      <c r="F6" s="278">
        <f>ROUND(C6/D6,-1)</f>
        <v>0</v>
      </c>
    </row>
    <row r="7" spans="1:6" s="7" customFormat="1" ht="15" customHeight="1" x14ac:dyDescent="0.2">
      <c r="A7" s="241"/>
      <c r="B7" s="6" t="s">
        <v>76</v>
      </c>
      <c r="C7" s="276">
        <f>'Use Allocation'!C13</f>
        <v>0</v>
      </c>
      <c r="D7" s="209">
        <v>350</v>
      </c>
      <c r="E7" s="208"/>
      <c r="F7" s="278">
        <f>ROUND(C7/D7,-1)</f>
        <v>0</v>
      </c>
    </row>
    <row r="8" spans="1:6" s="7" customFormat="1" ht="15" customHeight="1" x14ac:dyDescent="0.2">
      <c r="A8" s="241"/>
      <c r="B8" s="6" t="s">
        <v>77</v>
      </c>
      <c r="C8" s="276">
        <f>'Use Allocation'!C30</f>
        <v>46500</v>
      </c>
      <c r="D8" s="209">
        <v>350</v>
      </c>
      <c r="E8" s="208"/>
      <c r="F8" s="278">
        <f>ROUND(C8/D8,-1)</f>
        <v>130</v>
      </c>
    </row>
    <row r="9" spans="1:6" s="7" customFormat="1" ht="15" customHeight="1" thickBot="1" x14ac:dyDescent="0.25">
      <c r="A9" s="241"/>
      <c r="B9" s="6" t="s">
        <v>78</v>
      </c>
      <c r="C9" s="276">
        <f>'Use Allocation'!C37</f>
        <v>60000</v>
      </c>
      <c r="D9" s="209">
        <v>350</v>
      </c>
      <c r="E9" s="208"/>
      <c r="F9" s="278">
        <f>ROUND(C9/D9,-1)</f>
        <v>170</v>
      </c>
    </row>
    <row r="10" spans="1:6" s="7" customFormat="1" ht="15" customHeight="1" thickBot="1" x14ac:dyDescent="0.25">
      <c r="A10" s="241"/>
      <c r="B10" s="352" t="s">
        <v>35</v>
      </c>
      <c r="C10" s="401" t="s">
        <v>27</v>
      </c>
      <c r="D10" s="403" t="s">
        <v>85</v>
      </c>
      <c r="E10" s="405"/>
      <c r="F10" s="402"/>
    </row>
    <row r="11" spans="1:6" s="7" customFormat="1" ht="15" customHeight="1" x14ac:dyDescent="0.2">
      <c r="A11" s="241"/>
      <c r="B11" s="6" t="s">
        <v>37</v>
      </c>
      <c r="C11" s="276">
        <f>'Development by Block'!AD13</f>
        <v>0</v>
      </c>
      <c r="D11" s="277">
        <v>300</v>
      </c>
      <c r="E11" s="276"/>
      <c r="F11" s="278">
        <f t="shared" ref="F11:F16" si="0">ROUND(C11/D11,-1)</f>
        <v>0</v>
      </c>
    </row>
    <row r="12" spans="1:6" s="7" customFormat="1" ht="15" customHeight="1" x14ac:dyDescent="0.2">
      <c r="A12" s="241"/>
      <c r="B12" s="6" t="s">
        <v>39</v>
      </c>
      <c r="C12" s="276">
        <f>'Development by Block'!AD14</f>
        <v>40000</v>
      </c>
      <c r="D12" s="277">
        <v>200</v>
      </c>
      <c r="E12" s="276"/>
      <c r="F12" s="278">
        <f t="shared" si="0"/>
        <v>200</v>
      </c>
    </row>
    <row r="13" spans="1:6" s="7" customFormat="1" ht="15" customHeight="1" x14ac:dyDescent="0.2">
      <c r="A13" s="241"/>
      <c r="B13" s="6" t="s">
        <v>40</v>
      </c>
      <c r="C13" s="276">
        <f>'Development by Block'!AD15</f>
        <v>0</v>
      </c>
      <c r="D13" s="277">
        <v>200</v>
      </c>
      <c r="E13" s="276"/>
      <c r="F13" s="278">
        <f t="shared" si="0"/>
        <v>0</v>
      </c>
    </row>
    <row r="14" spans="1:6" s="7" customFormat="1" ht="15" customHeight="1" x14ac:dyDescent="0.2">
      <c r="A14" s="241"/>
      <c r="B14" s="6" t="s">
        <v>60</v>
      </c>
      <c r="C14" s="276">
        <f>Costs!C22</f>
        <v>0</v>
      </c>
      <c r="D14" s="277">
        <v>300</v>
      </c>
      <c r="E14" s="276"/>
      <c r="F14" s="278">
        <f t="shared" si="0"/>
        <v>0</v>
      </c>
    </row>
    <row r="15" spans="1:6" s="7" customFormat="1" ht="15" customHeight="1" x14ac:dyDescent="0.2">
      <c r="A15" s="241"/>
      <c r="B15" s="6" t="s">
        <v>149</v>
      </c>
      <c r="C15" s="276">
        <f>'Use Allocation'!D16</f>
        <v>0</v>
      </c>
      <c r="D15" s="209">
        <v>400</v>
      </c>
      <c r="E15" s="208"/>
      <c r="F15" s="278">
        <f t="shared" si="0"/>
        <v>0</v>
      </c>
    </row>
    <row r="16" spans="1:6" s="7" customFormat="1" ht="15" customHeight="1" thickBot="1" x14ac:dyDescent="0.25">
      <c r="A16" s="348"/>
      <c r="B16" s="6" t="s">
        <v>80</v>
      </c>
      <c r="C16" s="276">
        <f>'Use Allocation'!D34</f>
        <v>0</v>
      </c>
      <c r="D16" s="209">
        <v>400</v>
      </c>
      <c r="E16" s="208"/>
      <c r="F16" s="278">
        <f t="shared" si="0"/>
        <v>0</v>
      </c>
    </row>
    <row r="17" spans="1:6" s="7" customFormat="1" ht="15" customHeight="1" thickBot="1" x14ac:dyDescent="0.25">
      <c r="A17" s="237"/>
      <c r="B17" s="352" t="s">
        <v>81</v>
      </c>
      <c r="C17" s="401" t="s">
        <v>27</v>
      </c>
      <c r="D17" s="403" t="s">
        <v>85</v>
      </c>
      <c r="E17" s="405"/>
      <c r="F17" s="402"/>
    </row>
    <row r="18" spans="1:6" s="7" customFormat="1" ht="15" customHeight="1" x14ac:dyDescent="0.2">
      <c r="A18" s="236"/>
      <c r="B18" s="6" t="s">
        <v>153</v>
      </c>
      <c r="C18" s="276">
        <f>Costs!C26</f>
        <v>1500</v>
      </c>
      <c r="D18" s="209">
        <v>700</v>
      </c>
      <c r="E18" s="208"/>
      <c r="F18" s="278">
        <f>ROUND(C18/D18,-1)</f>
        <v>0</v>
      </c>
    </row>
    <row r="19" spans="1:6" s="7" customFormat="1" ht="15" customHeight="1" thickBot="1" x14ac:dyDescent="0.25">
      <c r="A19" s="237"/>
      <c r="B19" s="6" t="s">
        <v>150</v>
      </c>
      <c r="C19" s="276">
        <f>'Use Allocation'!E36</f>
        <v>0</v>
      </c>
      <c r="D19" s="209">
        <v>700</v>
      </c>
      <c r="E19" s="208"/>
      <c r="F19" s="278">
        <f>ROUND(C19/D19,-1)</f>
        <v>0</v>
      </c>
    </row>
    <row r="20" spans="1:6" s="7" customFormat="1" ht="15" customHeight="1" thickBot="1" x14ac:dyDescent="0.25">
      <c r="A20" s="236"/>
      <c r="B20" s="353" t="s">
        <v>86</v>
      </c>
      <c r="C20" s="531"/>
      <c r="D20" s="532"/>
      <c r="E20" s="533"/>
      <c r="F20" s="534">
        <f>SUM(F4:F19)</f>
        <v>500</v>
      </c>
    </row>
    <row r="21" spans="1:6" s="7" customFormat="1" ht="15" customHeight="1" x14ac:dyDescent="0.2">
      <c r="A21" s="236"/>
      <c r="B21" s="6"/>
      <c r="D21" s="13"/>
      <c r="E21" s="13"/>
      <c r="F21" s="13"/>
    </row>
    <row r="22" spans="1:6" s="7" customFormat="1" ht="15" hidden="1" customHeight="1" x14ac:dyDescent="0.2">
      <c r="A22" s="236"/>
      <c r="B22" s="6"/>
      <c r="D22" s="13"/>
      <c r="E22" s="13"/>
      <c r="F22" s="13"/>
    </row>
    <row r="23" spans="1:6" s="7" customFormat="1" ht="15" hidden="1" customHeight="1" x14ac:dyDescent="0.2">
      <c r="A23" s="236"/>
      <c r="B23" s="6"/>
      <c r="D23" s="13"/>
      <c r="E23" s="13"/>
      <c r="F23" s="13"/>
    </row>
    <row r="24" spans="1:6" s="7" customFormat="1" ht="15" hidden="1" customHeight="1" x14ac:dyDescent="0.2">
      <c r="A24" s="236"/>
      <c r="B24" s="6"/>
      <c r="D24" s="13"/>
      <c r="E24" s="13"/>
      <c r="F24" s="13"/>
    </row>
    <row r="25" spans="1:6" s="7" customFormat="1" ht="15" hidden="1" customHeight="1" x14ac:dyDescent="0.2">
      <c r="A25" s="236"/>
      <c r="B25" s="6"/>
      <c r="D25" s="13"/>
      <c r="E25" s="13"/>
      <c r="F25" s="13"/>
    </row>
    <row r="26" spans="1:6" s="7" customFormat="1" hidden="1" x14ac:dyDescent="0.2">
      <c r="A26" s="236"/>
      <c r="B26" s="6"/>
      <c r="D26" s="13"/>
      <c r="E26" s="13"/>
      <c r="F26" s="13"/>
    </row>
    <row r="27" spans="1:6" s="7" customFormat="1" hidden="1" x14ac:dyDescent="0.2">
      <c r="A27" s="236"/>
      <c r="B27" s="6"/>
      <c r="D27" s="13"/>
      <c r="E27" s="13"/>
      <c r="F27" s="13"/>
    </row>
    <row r="28" spans="1:6" s="7" customFormat="1" hidden="1" x14ac:dyDescent="0.2">
      <c r="A28" s="236"/>
      <c r="B28" s="6"/>
      <c r="D28" s="13"/>
      <c r="E28" s="13"/>
      <c r="F28" s="13"/>
    </row>
    <row r="29" spans="1:6" s="7" customFormat="1" hidden="1" x14ac:dyDescent="0.2">
      <c r="A29" s="236"/>
      <c r="B29" s="6"/>
      <c r="D29" s="13"/>
      <c r="E29" s="13"/>
      <c r="F29" s="13"/>
    </row>
    <row r="30" spans="1:6" s="7" customFormat="1" hidden="1" x14ac:dyDescent="0.2">
      <c r="A30" s="236"/>
      <c r="B30" s="6"/>
      <c r="D30" s="13"/>
      <c r="E30" s="13"/>
      <c r="F30" s="13"/>
    </row>
    <row r="31" spans="1:6" s="7" customFormat="1" hidden="1" x14ac:dyDescent="0.2">
      <c r="A31" s="236"/>
      <c r="B31" s="6"/>
      <c r="D31" s="13"/>
      <c r="E31" s="13"/>
      <c r="F31" s="13"/>
    </row>
    <row r="32" spans="1:6" s="7" customFormat="1" hidden="1" x14ac:dyDescent="0.2">
      <c r="A32" s="236"/>
      <c r="B32" s="6"/>
      <c r="D32" s="13"/>
      <c r="E32" s="13"/>
      <c r="F32" s="13"/>
    </row>
    <row r="33" spans="1:7" s="7" customFormat="1" hidden="1" x14ac:dyDescent="0.2">
      <c r="A33" s="236"/>
      <c r="B33" s="6"/>
      <c r="D33" s="13"/>
      <c r="E33" s="13"/>
      <c r="F33" s="13"/>
    </row>
    <row r="34" spans="1:7" s="7" customFormat="1" hidden="1" x14ac:dyDescent="0.2">
      <c r="A34" s="236"/>
      <c r="B34" s="6"/>
      <c r="D34" s="13"/>
      <c r="E34" s="13"/>
      <c r="F34" s="13"/>
    </row>
    <row r="35" spans="1:7" s="7" customFormat="1" hidden="1" x14ac:dyDescent="0.2">
      <c r="A35" s="236"/>
      <c r="B35" s="6"/>
      <c r="D35" s="13"/>
      <c r="E35" s="13"/>
      <c r="F35" s="13"/>
    </row>
    <row r="36" spans="1:7" s="7" customFormat="1" hidden="1" x14ac:dyDescent="0.2">
      <c r="A36" s="236"/>
      <c r="B36" s="6"/>
      <c r="D36" s="13"/>
      <c r="E36" s="13"/>
      <c r="F36" s="13"/>
    </row>
    <row r="37" spans="1:7" s="7" customFormat="1" hidden="1" x14ac:dyDescent="0.2">
      <c r="A37" s="236"/>
      <c r="B37" s="6"/>
      <c r="D37" s="13"/>
      <c r="E37" s="13"/>
      <c r="F37" s="13"/>
    </row>
    <row r="38" spans="1:7" s="7" customFormat="1" hidden="1" x14ac:dyDescent="0.2">
      <c r="A38" s="236"/>
      <c r="B38" s="6"/>
      <c r="D38" s="13"/>
      <c r="E38" s="13"/>
      <c r="F38" s="13"/>
    </row>
    <row r="39" spans="1:7" s="7" customFormat="1" hidden="1" x14ac:dyDescent="0.2">
      <c r="A39" s="236"/>
      <c r="B39" s="6"/>
      <c r="D39" s="13"/>
      <c r="E39" s="13"/>
      <c r="F39" s="13"/>
    </row>
    <row r="40" spans="1:7" s="7" customFormat="1" hidden="1" x14ac:dyDescent="0.2">
      <c r="A40" s="236"/>
      <c r="B40" s="6"/>
      <c r="D40" s="13"/>
      <c r="E40" s="13"/>
      <c r="F40" s="13"/>
    </row>
    <row r="41" spans="1:7" s="7" customFormat="1" hidden="1" x14ac:dyDescent="0.2">
      <c r="A41" s="236"/>
      <c r="B41" s="6"/>
      <c r="D41" s="13"/>
      <c r="E41" s="13"/>
      <c r="F41" s="13"/>
      <c r="G41" s="535"/>
    </row>
    <row r="42" spans="1:7" s="7" customFormat="1" hidden="1" x14ac:dyDescent="0.2">
      <c r="A42" s="236"/>
      <c r="B42" s="6"/>
      <c r="D42" s="13"/>
      <c r="E42" s="13"/>
      <c r="F42" s="13"/>
    </row>
    <row r="43" spans="1:7" s="7" customFormat="1" hidden="1" x14ac:dyDescent="0.2">
      <c r="A43" s="236"/>
      <c r="B43" s="6"/>
      <c r="D43" s="13"/>
      <c r="E43" s="13"/>
      <c r="F43" s="13"/>
    </row>
    <row r="44" spans="1:7" s="7" customFormat="1" hidden="1" x14ac:dyDescent="0.2">
      <c r="A44" s="236"/>
      <c r="B44" s="6"/>
      <c r="D44" s="13"/>
      <c r="E44" s="13"/>
      <c r="F44" s="13"/>
    </row>
    <row r="45" spans="1:7" s="7" customFormat="1" hidden="1" x14ac:dyDescent="0.2">
      <c r="A45" s="236"/>
      <c r="B45" s="6"/>
      <c r="D45" s="13"/>
      <c r="E45" s="13"/>
      <c r="F45" s="13"/>
    </row>
    <row r="46" spans="1:7" s="7" customFormat="1" hidden="1" x14ac:dyDescent="0.2">
      <c r="A46" s="236"/>
      <c r="B46" s="6"/>
      <c r="D46" s="13"/>
      <c r="E46" s="13"/>
      <c r="F46" s="13"/>
    </row>
    <row r="47" spans="1:7" hidden="1" x14ac:dyDescent="0.2">
      <c r="A47" s="236"/>
    </row>
    <row r="48" spans="1:7" hidden="1" x14ac:dyDescent="0.2">
      <c r="A48" s="236"/>
    </row>
    <row r="49" spans="1:1" hidden="1" x14ac:dyDescent="0.2">
      <c r="A49" s="236"/>
    </row>
    <row r="50" spans="1:1" hidden="1" x14ac:dyDescent="0.2">
      <c r="A50" s="236"/>
    </row>
    <row r="51" spans="1:1" hidden="1" x14ac:dyDescent="0.2">
      <c r="A51" s="236"/>
    </row>
    <row r="52" spans="1:1" hidden="1" x14ac:dyDescent="0.2">
      <c r="A52" s="236"/>
    </row>
    <row r="53" spans="1:1" hidden="1" x14ac:dyDescent="0.2">
      <c r="A53" s="236"/>
    </row>
    <row r="54" spans="1:1" hidden="1" x14ac:dyDescent="0.2">
      <c r="A54" s="236"/>
    </row>
    <row r="55" spans="1:1" hidden="1" x14ac:dyDescent="0.2">
      <c r="A55" s="236"/>
    </row>
    <row r="56" spans="1:1" hidden="1" x14ac:dyDescent="0.2">
      <c r="A56" s="236"/>
    </row>
    <row r="57" spans="1:1" hidden="1" x14ac:dyDescent="0.2">
      <c r="A57" s="236"/>
    </row>
    <row r="58" spans="1:1" hidden="1" x14ac:dyDescent="0.2">
      <c r="A58" s="236"/>
    </row>
  </sheetData>
  <sheetProtection sheet="1" objects="1" scenarios="1"/>
  <printOptions horizontalCentered="1"/>
  <pageMargins left="0.25" right="0.25" top="0.5" bottom="0.5" header="0.3" footer="0.3"/>
  <pageSetup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70C0"/>
    <pageSetUpPr fitToPage="1"/>
  </sheetPr>
  <dimension ref="A1:WVP65"/>
  <sheetViews>
    <sheetView showGridLines="0" topLeftCell="A13" zoomScaleNormal="100" zoomScaleSheetLayoutView="85" workbookViewId="0"/>
  </sheetViews>
  <sheetFormatPr defaultColWidth="0" defaultRowHeight="12.75" zeroHeight="1" x14ac:dyDescent="0.2"/>
  <cols>
    <col min="1" max="1" width="5.7109375" style="536" customWidth="1"/>
    <col min="2" max="2" width="50.140625" style="536" customWidth="1"/>
    <col min="3" max="3" width="14.42578125" style="536" customWidth="1"/>
    <col min="4" max="4" width="3.7109375" style="536" customWidth="1"/>
    <col min="5" max="5" width="20.140625" style="536" customWidth="1"/>
    <col min="6" max="6" width="2.5703125" style="536" customWidth="1"/>
    <col min="7" max="7" width="17.140625" style="536" customWidth="1"/>
    <col min="8" max="8" width="5.7109375" style="536" customWidth="1"/>
    <col min="9" max="9" width="15.7109375" style="542" hidden="1"/>
    <col min="10" max="13" width="15.7109375" style="536" hidden="1"/>
    <col min="14" max="251" width="9.140625" style="536" hidden="1"/>
    <col min="252" max="252" width="4.7109375" style="536" hidden="1"/>
    <col min="253" max="253" width="49" style="536" hidden="1"/>
    <col min="254" max="254" width="16.42578125" style="536" hidden="1"/>
    <col min="255" max="255" width="18.28515625" style="536" hidden="1"/>
    <col min="256" max="256" width="17.140625" style="536" hidden="1"/>
    <col min="257" max="257" width="25" style="536" hidden="1"/>
    <col min="258" max="507" width="9.140625" style="536" hidden="1"/>
    <col min="508" max="508" width="4.7109375" style="536" hidden="1"/>
    <col min="509" max="509" width="49" style="536" hidden="1"/>
    <col min="510" max="510" width="16.42578125" style="536" hidden="1"/>
    <col min="511" max="511" width="18.28515625" style="536" hidden="1"/>
    <col min="512" max="512" width="17.140625" style="536" hidden="1"/>
    <col min="513" max="513" width="25" style="536" hidden="1"/>
    <col min="514" max="763" width="9.140625" style="536" hidden="1"/>
    <col min="764" max="764" width="4.7109375" style="536" hidden="1"/>
    <col min="765" max="765" width="49" style="536" hidden="1"/>
    <col min="766" max="766" width="16.42578125" style="536" hidden="1"/>
    <col min="767" max="767" width="18.28515625" style="536" hidden="1"/>
    <col min="768" max="768" width="17.140625" style="536" hidden="1"/>
    <col min="769" max="769" width="25" style="536" hidden="1"/>
    <col min="770" max="1019" width="9.140625" style="536" hidden="1"/>
    <col min="1020" max="1020" width="4.7109375" style="536" hidden="1"/>
    <col min="1021" max="1021" width="49" style="536" hidden="1"/>
    <col min="1022" max="1022" width="16.42578125" style="536" hidden="1"/>
    <col min="1023" max="1023" width="18.28515625" style="536" hidden="1"/>
    <col min="1024" max="1024" width="17.140625" style="536" hidden="1"/>
    <col min="1025" max="1025" width="25" style="536" hidden="1"/>
    <col min="1026" max="1275" width="9.140625" style="536" hidden="1"/>
    <col min="1276" max="1276" width="4.7109375" style="536" hidden="1"/>
    <col min="1277" max="1277" width="49" style="536" hidden="1"/>
    <col min="1278" max="1278" width="16.42578125" style="536" hidden="1"/>
    <col min="1279" max="1279" width="18.28515625" style="536" hidden="1"/>
    <col min="1280" max="1280" width="17.140625" style="536" hidden="1"/>
    <col min="1281" max="1281" width="25" style="536" hidden="1"/>
    <col min="1282" max="1531" width="9.140625" style="536" hidden="1"/>
    <col min="1532" max="1532" width="4.7109375" style="536" hidden="1"/>
    <col min="1533" max="1533" width="49" style="536" hidden="1"/>
    <col min="1534" max="1534" width="16.42578125" style="536" hidden="1"/>
    <col min="1535" max="1535" width="18.28515625" style="536" hidden="1"/>
    <col min="1536" max="1536" width="17.140625" style="536" hidden="1"/>
    <col min="1537" max="1537" width="25" style="536" hidden="1"/>
    <col min="1538" max="1787" width="9.140625" style="536" hidden="1"/>
    <col min="1788" max="1788" width="4.7109375" style="536" hidden="1"/>
    <col min="1789" max="1789" width="49" style="536" hidden="1"/>
    <col min="1790" max="1790" width="16.42578125" style="536" hidden="1"/>
    <col min="1791" max="1791" width="18.28515625" style="536" hidden="1"/>
    <col min="1792" max="1792" width="17.140625" style="536" hidden="1"/>
    <col min="1793" max="1793" width="25" style="536" hidden="1"/>
    <col min="1794" max="2043" width="9.140625" style="536" hidden="1"/>
    <col min="2044" max="2044" width="4.7109375" style="536" hidden="1"/>
    <col min="2045" max="2045" width="49" style="536" hidden="1"/>
    <col min="2046" max="2046" width="16.42578125" style="536" hidden="1"/>
    <col min="2047" max="2047" width="18.28515625" style="536" hidden="1"/>
    <col min="2048" max="2048" width="17.140625" style="536" hidden="1"/>
    <col min="2049" max="2049" width="25" style="536" hidden="1"/>
    <col min="2050" max="2299" width="9.140625" style="536" hidden="1"/>
    <col min="2300" max="2300" width="4.7109375" style="536" hidden="1"/>
    <col min="2301" max="2301" width="49" style="536" hidden="1"/>
    <col min="2302" max="2302" width="16.42578125" style="536" hidden="1"/>
    <col min="2303" max="2303" width="18.28515625" style="536" hidden="1"/>
    <col min="2304" max="2304" width="17.140625" style="536" hidden="1"/>
    <col min="2305" max="2305" width="25" style="536" hidden="1"/>
    <col min="2306" max="2555" width="9.140625" style="536" hidden="1"/>
    <col min="2556" max="2556" width="4.7109375" style="536" hidden="1"/>
    <col min="2557" max="2557" width="49" style="536" hidden="1"/>
    <col min="2558" max="2558" width="16.42578125" style="536" hidden="1"/>
    <col min="2559" max="2559" width="18.28515625" style="536" hidden="1"/>
    <col min="2560" max="2560" width="17.140625" style="536" hidden="1"/>
    <col min="2561" max="2561" width="25" style="536" hidden="1"/>
    <col min="2562" max="2811" width="9.140625" style="536" hidden="1"/>
    <col min="2812" max="2812" width="4.7109375" style="536" hidden="1"/>
    <col min="2813" max="2813" width="49" style="536" hidden="1"/>
    <col min="2814" max="2814" width="16.42578125" style="536" hidden="1"/>
    <col min="2815" max="2815" width="18.28515625" style="536" hidden="1"/>
    <col min="2816" max="2816" width="17.140625" style="536" hidden="1"/>
    <col min="2817" max="2817" width="25" style="536" hidden="1"/>
    <col min="2818" max="3067" width="9.140625" style="536" hidden="1"/>
    <col min="3068" max="3068" width="4.7109375" style="536" hidden="1"/>
    <col min="3069" max="3069" width="49" style="536" hidden="1"/>
    <col min="3070" max="3070" width="16.42578125" style="536" hidden="1"/>
    <col min="3071" max="3071" width="18.28515625" style="536" hidden="1"/>
    <col min="3072" max="3072" width="17.140625" style="536" hidden="1"/>
    <col min="3073" max="3073" width="25" style="536" hidden="1"/>
    <col min="3074" max="3323" width="9.140625" style="536" hidden="1"/>
    <col min="3324" max="3324" width="4.7109375" style="536" hidden="1"/>
    <col min="3325" max="3325" width="49" style="536" hidden="1"/>
    <col min="3326" max="3326" width="16.42578125" style="536" hidden="1"/>
    <col min="3327" max="3327" width="18.28515625" style="536" hidden="1"/>
    <col min="3328" max="3328" width="17.140625" style="536" hidden="1"/>
    <col min="3329" max="3329" width="25" style="536" hidden="1"/>
    <col min="3330" max="3579" width="9.140625" style="536" hidden="1"/>
    <col min="3580" max="3580" width="4.7109375" style="536" hidden="1"/>
    <col min="3581" max="3581" width="49" style="536" hidden="1"/>
    <col min="3582" max="3582" width="16.42578125" style="536" hidden="1"/>
    <col min="3583" max="3583" width="18.28515625" style="536" hidden="1"/>
    <col min="3584" max="3584" width="17.140625" style="536" hidden="1"/>
    <col min="3585" max="3585" width="25" style="536" hidden="1"/>
    <col min="3586" max="3835" width="9.140625" style="536" hidden="1"/>
    <col min="3836" max="3836" width="4.7109375" style="536" hidden="1"/>
    <col min="3837" max="3837" width="49" style="536" hidden="1"/>
    <col min="3838" max="3838" width="16.42578125" style="536" hidden="1"/>
    <col min="3839" max="3839" width="18.28515625" style="536" hidden="1"/>
    <col min="3840" max="3840" width="17.140625" style="536" hidden="1"/>
    <col min="3841" max="3841" width="25" style="536" hidden="1"/>
    <col min="3842" max="4091" width="9.140625" style="536" hidden="1"/>
    <col min="4092" max="4092" width="4.7109375" style="536" hidden="1"/>
    <col min="4093" max="4093" width="49" style="536" hidden="1"/>
    <col min="4094" max="4094" width="16.42578125" style="536" hidden="1"/>
    <col min="4095" max="4095" width="18.28515625" style="536" hidden="1"/>
    <col min="4096" max="4096" width="17.140625" style="536" hidden="1"/>
    <col min="4097" max="4097" width="25" style="536" hidden="1"/>
    <col min="4098" max="4347" width="9.140625" style="536" hidden="1"/>
    <col min="4348" max="4348" width="4.7109375" style="536" hidden="1"/>
    <col min="4349" max="4349" width="49" style="536" hidden="1"/>
    <col min="4350" max="4350" width="16.42578125" style="536" hidden="1"/>
    <col min="4351" max="4351" width="18.28515625" style="536" hidden="1"/>
    <col min="4352" max="4352" width="17.140625" style="536" hidden="1"/>
    <col min="4353" max="4353" width="25" style="536" hidden="1"/>
    <col min="4354" max="4603" width="9.140625" style="536" hidden="1"/>
    <col min="4604" max="4604" width="4.7109375" style="536" hidden="1"/>
    <col min="4605" max="4605" width="49" style="536" hidden="1"/>
    <col min="4606" max="4606" width="16.42578125" style="536" hidden="1"/>
    <col min="4607" max="4607" width="18.28515625" style="536" hidden="1"/>
    <col min="4608" max="4608" width="17.140625" style="536" hidden="1"/>
    <col min="4609" max="4609" width="25" style="536" hidden="1"/>
    <col min="4610" max="4859" width="9.140625" style="536" hidden="1"/>
    <col min="4860" max="4860" width="4.7109375" style="536" hidden="1"/>
    <col min="4861" max="4861" width="49" style="536" hidden="1"/>
    <col min="4862" max="4862" width="16.42578125" style="536" hidden="1"/>
    <col min="4863" max="4863" width="18.28515625" style="536" hidden="1"/>
    <col min="4864" max="4864" width="17.140625" style="536" hidden="1"/>
    <col min="4865" max="4865" width="25" style="536" hidden="1"/>
    <col min="4866" max="5115" width="9.140625" style="536" hidden="1"/>
    <col min="5116" max="5116" width="4.7109375" style="536" hidden="1"/>
    <col min="5117" max="5117" width="49" style="536" hidden="1"/>
    <col min="5118" max="5118" width="16.42578125" style="536" hidden="1"/>
    <col min="5119" max="5119" width="18.28515625" style="536" hidden="1"/>
    <col min="5120" max="5120" width="17.140625" style="536" hidden="1"/>
    <col min="5121" max="5121" width="25" style="536" hidden="1"/>
    <col min="5122" max="5371" width="9.140625" style="536" hidden="1"/>
    <col min="5372" max="5372" width="4.7109375" style="536" hidden="1"/>
    <col min="5373" max="5373" width="49" style="536" hidden="1"/>
    <col min="5374" max="5374" width="16.42578125" style="536" hidden="1"/>
    <col min="5375" max="5375" width="18.28515625" style="536" hidden="1"/>
    <col min="5376" max="5376" width="17.140625" style="536" hidden="1"/>
    <col min="5377" max="5377" width="25" style="536" hidden="1"/>
    <col min="5378" max="5627" width="9.140625" style="536" hidden="1"/>
    <col min="5628" max="5628" width="4.7109375" style="536" hidden="1"/>
    <col min="5629" max="5629" width="49" style="536" hidden="1"/>
    <col min="5630" max="5630" width="16.42578125" style="536" hidden="1"/>
    <col min="5631" max="5631" width="18.28515625" style="536" hidden="1"/>
    <col min="5632" max="5632" width="17.140625" style="536" hidden="1"/>
    <col min="5633" max="5633" width="25" style="536" hidden="1"/>
    <col min="5634" max="5883" width="9.140625" style="536" hidden="1"/>
    <col min="5884" max="5884" width="4.7109375" style="536" hidden="1"/>
    <col min="5885" max="5885" width="49" style="536" hidden="1"/>
    <col min="5886" max="5886" width="16.42578125" style="536" hidden="1"/>
    <col min="5887" max="5887" width="18.28515625" style="536" hidden="1"/>
    <col min="5888" max="5888" width="17.140625" style="536" hidden="1"/>
    <col min="5889" max="5889" width="25" style="536" hidden="1"/>
    <col min="5890" max="6139" width="9.140625" style="536" hidden="1"/>
    <col min="6140" max="6140" width="4.7109375" style="536" hidden="1"/>
    <col min="6141" max="6141" width="49" style="536" hidden="1"/>
    <col min="6142" max="6142" width="16.42578125" style="536" hidden="1"/>
    <col min="6143" max="6143" width="18.28515625" style="536" hidden="1"/>
    <col min="6144" max="6144" width="17.140625" style="536" hidden="1"/>
    <col min="6145" max="6145" width="25" style="536" hidden="1"/>
    <col min="6146" max="6395" width="9.140625" style="536" hidden="1"/>
    <col min="6396" max="6396" width="4.7109375" style="536" hidden="1"/>
    <col min="6397" max="6397" width="49" style="536" hidden="1"/>
    <col min="6398" max="6398" width="16.42578125" style="536" hidden="1"/>
    <col min="6399" max="6399" width="18.28515625" style="536" hidden="1"/>
    <col min="6400" max="6400" width="17.140625" style="536" hidden="1"/>
    <col min="6401" max="6401" width="25" style="536" hidden="1"/>
    <col min="6402" max="6651" width="9.140625" style="536" hidden="1"/>
    <col min="6652" max="6652" width="4.7109375" style="536" hidden="1"/>
    <col min="6653" max="6653" width="49" style="536" hidden="1"/>
    <col min="6654" max="6654" width="16.42578125" style="536" hidden="1"/>
    <col min="6655" max="6655" width="18.28515625" style="536" hidden="1"/>
    <col min="6656" max="6656" width="17.140625" style="536" hidden="1"/>
    <col min="6657" max="6657" width="25" style="536" hidden="1"/>
    <col min="6658" max="6907" width="9.140625" style="536" hidden="1"/>
    <col min="6908" max="6908" width="4.7109375" style="536" hidden="1"/>
    <col min="6909" max="6909" width="49" style="536" hidden="1"/>
    <col min="6910" max="6910" width="16.42578125" style="536" hidden="1"/>
    <col min="6911" max="6911" width="18.28515625" style="536" hidden="1"/>
    <col min="6912" max="6912" width="17.140625" style="536" hidden="1"/>
    <col min="6913" max="6913" width="25" style="536" hidden="1"/>
    <col min="6914" max="7163" width="9.140625" style="536" hidden="1"/>
    <col min="7164" max="7164" width="4.7109375" style="536" hidden="1"/>
    <col min="7165" max="7165" width="49" style="536" hidden="1"/>
    <col min="7166" max="7166" width="16.42578125" style="536" hidden="1"/>
    <col min="7167" max="7167" width="18.28515625" style="536" hidden="1"/>
    <col min="7168" max="7168" width="17.140625" style="536" hidden="1"/>
    <col min="7169" max="7169" width="25" style="536" hidden="1"/>
    <col min="7170" max="7419" width="9.140625" style="536" hidden="1"/>
    <col min="7420" max="7420" width="4.7109375" style="536" hidden="1"/>
    <col min="7421" max="7421" width="49" style="536" hidden="1"/>
    <col min="7422" max="7422" width="16.42578125" style="536" hidden="1"/>
    <col min="7423" max="7423" width="18.28515625" style="536" hidden="1"/>
    <col min="7424" max="7424" width="17.140625" style="536" hidden="1"/>
    <col min="7425" max="7425" width="25" style="536" hidden="1"/>
    <col min="7426" max="7675" width="9.140625" style="536" hidden="1"/>
    <col min="7676" max="7676" width="4.7109375" style="536" hidden="1"/>
    <col min="7677" max="7677" width="49" style="536" hidden="1"/>
    <col min="7678" max="7678" width="16.42578125" style="536" hidden="1"/>
    <col min="7679" max="7679" width="18.28515625" style="536" hidden="1"/>
    <col min="7680" max="7680" width="17.140625" style="536" hidden="1"/>
    <col min="7681" max="7681" width="25" style="536" hidden="1"/>
    <col min="7682" max="7931" width="9.140625" style="536" hidden="1"/>
    <col min="7932" max="7932" width="4.7109375" style="536" hidden="1"/>
    <col min="7933" max="7933" width="49" style="536" hidden="1"/>
    <col min="7934" max="7934" width="16.42578125" style="536" hidden="1"/>
    <col min="7935" max="7935" width="18.28515625" style="536" hidden="1"/>
    <col min="7936" max="7936" width="17.140625" style="536" hidden="1"/>
    <col min="7937" max="7937" width="25" style="536" hidden="1"/>
    <col min="7938" max="8187" width="9.140625" style="536" hidden="1"/>
    <col min="8188" max="8188" width="4.7109375" style="536" hidden="1"/>
    <col min="8189" max="8189" width="49" style="536" hidden="1"/>
    <col min="8190" max="8190" width="16.42578125" style="536" hidden="1"/>
    <col min="8191" max="8191" width="18.28515625" style="536" hidden="1"/>
    <col min="8192" max="8192" width="17.140625" style="536" hidden="1"/>
    <col min="8193" max="8193" width="25" style="536" hidden="1"/>
    <col min="8194" max="8443" width="9.140625" style="536" hidden="1"/>
    <col min="8444" max="8444" width="4.7109375" style="536" hidden="1"/>
    <col min="8445" max="8445" width="49" style="536" hidden="1"/>
    <col min="8446" max="8446" width="16.42578125" style="536" hidden="1"/>
    <col min="8447" max="8447" width="18.28515625" style="536" hidden="1"/>
    <col min="8448" max="8448" width="17.140625" style="536" hidden="1"/>
    <col min="8449" max="8449" width="25" style="536" hidden="1"/>
    <col min="8450" max="8699" width="9.140625" style="536" hidden="1"/>
    <col min="8700" max="8700" width="4.7109375" style="536" hidden="1"/>
    <col min="8701" max="8701" width="49" style="536" hidden="1"/>
    <col min="8702" max="8702" width="16.42578125" style="536" hidden="1"/>
    <col min="8703" max="8703" width="18.28515625" style="536" hidden="1"/>
    <col min="8704" max="8704" width="17.140625" style="536" hidden="1"/>
    <col min="8705" max="8705" width="25" style="536" hidden="1"/>
    <col min="8706" max="8955" width="9.140625" style="536" hidden="1"/>
    <col min="8956" max="8956" width="4.7109375" style="536" hidden="1"/>
    <col min="8957" max="8957" width="49" style="536" hidden="1"/>
    <col min="8958" max="8958" width="16.42578125" style="536" hidden="1"/>
    <col min="8959" max="8959" width="18.28515625" style="536" hidden="1"/>
    <col min="8960" max="8960" width="17.140625" style="536" hidden="1"/>
    <col min="8961" max="8961" width="25" style="536" hidden="1"/>
    <col min="8962" max="9211" width="9.140625" style="536" hidden="1"/>
    <col min="9212" max="9212" width="4.7109375" style="536" hidden="1"/>
    <col min="9213" max="9213" width="49" style="536" hidden="1"/>
    <col min="9214" max="9214" width="16.42578125" style="536" hidden="1"/>
    <col min="9215" max="9215" width="18.28515625" style="536" hidden="1"/>
    <col min="9216" max="9216" width="17.140625" style="536" hidden="1"/>
    <col min="9217" max="9217" width="25" style="536" hidden="1"/>
    <col min="9218" max="9467" width="9.140625" style="536" hidden="1"/>
    <col min="9468" max="9468" width="4.7109375" style="536" hidden="1"/>
    <col min="9469" max="9469" width="49" style="536" hidden="1"/>
    <col min="9470" max="9470" width="16.42578125" style="536" hidden="1"/>
    <col min="9471" max="9471" width="18.28515625" style="536" hidden="1"/>
    <col min="9472" max="9472" width="17.140625" style="536" hidden="1"/>
    <col min="9473" max="9473" width="25" style="536" hidden="1"/>
    <col min="9474" max="9723" width="9.140625" style="536" hidden="1"/>
    <col min="9724" max="9724" width="4.7109375" style="536" hidden="1"/>
    <col min="9725" max="9725" width="49" style="536" hidden="1"/>
    <col min="9726" max="9726" width="16.42578125" style="536" hidden="1"/>
    <col min="9727" max="9727" width="18.28515625" style="536" hidden="1"/>
    <col min="9728" max="9728" width="17.140625" style="536" hidden="1"/>
    <col min="9729" max="9729" width="25" style="536" hidden="1"/>
    <col min="9730" max="9979" width="9.140625" style="536" hidden="1"/>
    <col min="9980" max="9980" width="4.7109375" style="536" hidden="1"/>
    <col min="9981" max="9981" width="49" style="536" hidden="1"/>
    <col min="9982" max="9982" width="16.42578125" style="536" hidden="1"/>
    <col min="9983" max="9983" width="18.28515625" style="536" hidden="1"/>
    <col min="9984" max="9984" width="17.140625" style="536" hidden="1"/>
    <col min="9985" max="9985" width="25" style="536" hidden="1"/>
    <col min="9986" max="10235" width="9.140625" style="536" hidden="1"/>
    <col min="10236" max="10236" width="4.7109375" style="536" hidden="1"/>
    <col min="10237" max="10237" width="49" style="536" hidden="1"/>
    <col min="10238" max="10238" width="16.42578125" style="536" hidden="1"/>
    <col min="10239" max="10239" width="18.28515625" style="536" hidden="1"/>
    <col min="10240" max="10240" width="17.140625" style="536" hidden="1"/>
    <col min="10241" max="10241" width="25" style="536" hidden="1"/>
    <col min="10242" max="10491" width="9.140625" style="536" hidden="1"/>
    <col min="10492" max="10492" width="4.7109375" style="536" hidden="1"/>
    <col min="10493" max="10493" width="49" style="536" hidden="1"/>
    <col min="10494" max="10494" width="16.42578125" style="536" hidden="1"/>
    <col min="10495" max="10495" width="18.28515625" style="536" hidden="1"/>
    <col min="10496" max="10496" width="17.140625" style="536" hidden="1"/>
    <col min="10497" max="10497" width="25" style="536" hidden="1"/>
    <col min="10498" max="10747" width="9.140625" style="536" hidden="1"/>
    <col min="10748" max="10748" width="4.7109375" style="536" hidden="1"/>
    <col min="10749" max="10749" width="49" style="536" hidden="1"/>
    <col min="10750" max="10750" width="16.42578125" style="536" hidden="1"/>
    <col min="10751" max="10751" width="18.28515625" style="536" hidden="1"/>
    <col min="10752" max="10752" width="17.140625" style="536" hidden="1"/>
    <col min="10753" max="10753" width="25" style="536" hidden="1"/>
    <col min="10754" max="11003" width="9.140625" style="536" hidden="1"/>
    <col min="11004" max="11004" width="4.7109375" style="536" hidden="1"/>
    <col min="11005" max="11005" width="49" style="536" hidden="1"/>
    <col min="11006" max="11006" width="16.42578125" style="536" hidden="1"/>
    <col min="11007" max="11007" width="18.28515625" style="536" hidden="1"/>
    <col min="11008" max="11008" width="17.140625" style="536" hidden="1"/>
    <col min="11009" max="11009" width="25" style="536" hidden="1"/>
    <col min="11010" max="11259" width="9.140625" style="536" hidden="1"/>
    <col min="11260" max="11260" width="4.7109375" style="536" hidden="1"/>
    <col min="11261" max="11261" width="49" style="536" hidden="1"/>
    <col min="11262" max="11262" width="16.42578125" style="536" hidden="1"/>
    <col min="11263" max="11263" width="18.28515625" style="536" hidden="1"/>
    <col min="11264" max="11264" width="17.140625" style="536" hidden="1"/>
    <col min="11265" max="11265" width="25" style="536" hidden="1"/>
    <col min="11266" max="11515" width="9.140625" style="536" hidden="1"/>
    <col min="11516" max="11516" width="4.7109375" style="536" hidden="1"/>
    <col min="11517" max="11517" width="49" style="536" hidden="1"/>
    <col min="11518" max="11518" width="16.42578125" style="536" hidden="1"/>
    <col min="11519" max="11519" width="18.28515625" style="536" hidden="1"/>
    <col min="11520" max="11520" width="17.140625" style="536" hidden="1"/>
    <col min="11521" max="11521" width="25" style="536" hidden="1"/>
    <col min="11522" max="11771" width="9.140625" style="536" hidden="1"/>
    <col min="11772" max="11772" width="4.7109375" style="536" hidden="1"/>
    <col min="11773" max="11773" width="49" style="536" hidden="1"/>
    <col min="11774" max="11774" width="16.42578125" style="536" hidden="1"/>
    <col min="11775" max="11775" width="18.28515625" style="536" hidden="1"/>
    <col min="11776" max="11776" width="17.140625" style="536" hidden="1"/>
    <col min="11777" max="11777" width="25" style="536" hidden="1"/>
    <col min="11778" max="12027" width="9.140625" style="536" hidden="1"/>
    <col min="12028" max="12028" width="4.7109375" style="536" hidden="1"/>
    <col min="12029" max="12029" width="49" style="536" hidden="1"/>
    <col min="12030" max="12030" width="16.42578125" style="536" hidden="1"/>
    <col min="12031" max="12031" width="18.28515625" style="536" hidden="1"/>
    <col min="12032" max="12032" width="17.140625" style="536" hidden="1"/>
    <col min="12033" max="12033" width="25" style="536" hidden="1"/>
    <col min="12034" max="12283" width="9.140625" style="536" hidden="1"/>
    <col min="12284" max="12284" width="4.7109375" style="536" hidden="1"/>
    <col min="12285" max="12285" width="49" style="536" hidden="1"/>
    <col min="12286" max="12286" width="16.42578125" style="536" hidden="1"/>
    <col min="12287" max="12287" width="18.28515625" style="536" hidden="1"/>
    <col min="12288" max="12288" width="17.140625" style="536" hidden="1"/>
    <col min="12289" max="12289" width="25" style="536" hidden="1"/>
    <col min="12290" max="12539" width="9.140625" style="536" hidden="1"/>
    <col min="12540" max="12540" width="4.7109375" style="536" hidden="1"/>
    <col min="12541" max="12541" width="49" style="536" hidden="1"/>
    <col min="12542" max="12542" width="16.42578125" style="536" hidden="1"/>
    <col min="12543" max="12543" width="18.28515625" style="536" hidden="1"/>
    <col min="12544" max="12544" width="17.140625" style="536" hidden="1"/>
    <col min="12545" max="12545" width="25" style="536" hidden="1"/>
    <col min="12546" max="12795" width="9.140625" style="536" hidden="1"/>
    <col min="12796" max="12796" width="4.7109375" style="536" hidden="1"/>
    <col min="12797" max="12797" width="49" style="536" hidden="1"/>
    <col min="12798" max="12798" width="16.42578125" style="536" hidden="1"/>
    <col min="12799" max="12799" width="18.28515625" style="536" hidden="1"/>
    <col min="12800" max="12800" width="17.140625" style="536" hidden="1"/>
    <col min="12801" max="12801" width="25" style="536" hidden="1"/>
    <col min="12802" max="13051" width="9.140625" style="536" hidden="1"/>
    <col min="13052" max="13052" width="4.7109375" style="536" hidden="1"/>
    <col min="13053" max="13053" width="49" style="536" hidden="1"/>
    <col min="13054" max="13054" width="16.42578125" style="536" hidden="1"/>
    <col min="13055" max="13055" width="18.28515625" style="536" hidden="1"/>
    <col min="13056" max="13056" width="17.140625" style="536" hidden="1"/>
    <col min="13057" max="13057" width="25" style="536" hidden="1"/>
    <col min="13058" max="13307" width="9.140625" style="536" hidden="1"/>
    <col min="13308" max="13308" width="4.7109375" style="536" hidden="1"/>
    <col min="13309" max="13309" width="49" style="536" hidden="1"/>
    <col min="13310" max="13310" width="16.42578125" style="536" hidden="1"/>
    <col min="13311" max="13311" width="18.28515625" style="536" hidden="1"/>
    <col min="13312" max="13312" width="17.140625" style="536" hidden="1"/>
    <col min="13313" max="13313" width="25" style="536" hidden="1"/>
    <col min="13314" max="13563" width="9.140625" style="536" hidden="1"/>
    <col min="13564" max="13564" width="4.7109375" style="536" hidden="1"/>
    <col min="13565" max="13565" width="49" style="536" hidden="1"/>
    <col min="13566" max="13566" width="16.42578125" style="536" hidden="1"/>
    <col min="13567" max="13567" width="18.28515625" style="536" hidden="1"/>
    <col min="13568" max="13568" width="17.140625" style="536" hidden="1"/>
    <col min="13569" max="13569" width="25" style="536" hidden="1"/>
    <col min="13570" max="13819" width="9.140625" style="536" hidden="1"/>
    <col min="13820" max="13820" width="4.7109375" style="536" hidden="1"/>
    <col min="13821" max="13821" width="49" style="536" hidden="1"/>
    <col min="13822" max="13822" width="16.42578125" style="536" hidden="1"/>
    <col min="13823" max="13823" width="18.28515625" style="536" hidden="1"/>
    <col min="13824" max="13824" width="17.140625" style="536" hidden="1"/>
    <col min="13825" max="13825" width="25" style="536" hidden="1"/>
    <col min="13826" max="14075" width="9.140625" style="536" hidden="1"/>
    <col min="14076" max="14076" width="4.7109375" style="536" hidden="1"/>
    <col min="14077" max="14077" width="49" style="536" hidden="1"/>
    <col min="14078" max="14078" width="16.42578125" style="536" hidden="1"/>
    <col min="14079" max="14079" width="18.28515625" style="536" hidden="1"/>
    <col min="14080" max="14080" width="17.140625" style="536" hidden="1"/>
    <col min="14081" max="14081" width="25" style="536" hidden="1"/>
    <col min="14082" max="14331" width="9.140625" style="536" hidden="1"/>
    <col min="14332" max="14332" width="4.7109375" style="536" hidden="1"/>
    <col min="14333" max="14333" width="49" style="536" hidden="1"/>
    <col min="14334" max="14334" width="16.42578125" style="536" hidden="1"/>
    <col min="14335" max="14335" width="18.28515625" style="536" hidden="1"/>
    <col min="14336" max="14336" width="17.140625" style="536" hidden="1"/>
    <col min="14337" max="14337" width="25" style="536" hidden="1"/>
    <col min="14338" max="14587" width="9.140625" style="536" hidden="1"/>
    <col min="14588" max="14588" width="4.7109375" style="536" hidden="1"/>
    <col min="14589" max="14589" width="49" style="536" hidden="1"/>
    <col min="14590" max="14590" width="16.42578125" style="536" hidden="1"/>
    <col min="14591" max="14591" width="18.28515625" style="536" hidden="1"/>
    <col min="14592" max="14592" width="17.140625" style="536" hidden="1"/>
    <col min="14593" max="14593" width="25" style="536" hidden="1"/>
    <col min="14594" max="14843" width="9.140625" style="536" hidden="1"/>
    <col min="14844" max="14844" width="4.7109375" style="536" hidden="1"/>
    <col min="14845" max="14845" width="49" style="536" hidden="1"/>
    <col min="14846" max="14846" width="16.42578125" style="536" hidden="1"/>
    <col min="14847" max="14847" width="18.28515625" style="536" hidden="1"/>
    <col min="14848" max="14848" width="17.140625" style="536" hidden="1"/>
    <col min="14849" max="14849" width="25" style="536" hidden="1"/>
    <col min="14850" max="15099" width="9.140625" style="536" hidden="1"/>
    <col min="15100" max="15100" width="4.7109375" style="536" hidden="1"/>
    <col min="15101" max="15101" width="49" style="536" hidden="1"/>
    <col min="15102" max="15102" width="16.42578125" style="536" hidden="1"/>
    <col min="15103" max="15103" width="18.28515625" style="536" hidden="1"/>
    <col min="15104" max="15104" width="17.140625" style="536" hidden="1"/>
    <col min="15105" max="15105" width="25" style="536" hidden="1"/>
    <col min="15106" max="15355" width="9.140625" style="536" hidden="1"/>
    <col min="15356" max="15356" width="4.7109375" style="536" hidden="1"/>
    <col min="15357" max="15357" width="49" style="536" hidden="1"/>
    <col min="15358" max="15358" width="16.42578125" style="536" hidden="1"/>
    <col min="15359" max="15359" width="18.28515625" style="536" hidden="1"/>
    <col min="15360" max="15360" width="17.140625" style="536" hidden="1"/>
    <col min="15361" max="15361" width="25" style="536" hidden="1"/>
    <col min="15362" max="15611" width="9.140625" style="536" hidden="1"/>
    <col min="15612" max="15612" width="4.7109375" style="536" hidden="1"/>
    <col min="15613" max="15613" width="49" style="536" hidden="1"/>
    <col min="15614" max="15614" width="16.42578125" style="536" hidden="1"/>
    <col min="15615" max="15615" width="18.28515625" style="536" hidden="1"/>
    <col min="15616" max="15616" width="17.140625" style="536" hidden="1"/>
    <col min="15617" max="15617" width="25" style="536" hidden="1"/>
    <col min="15618" max="15867" width="9.140625" style="536" hidden="1"/>
    <col min="15868" max="15868" width="4.7109375" style="536" hidden="1"/>
    <col min="15869" max="15869" width="49" style="536" hidden="1"/>
    <col min="15870" max="15870" width="16.42578125" style="536" hidden="1"/>
    <col min="15871" max="15871" width="18.28515625" style="536" hidden="1"/>
    <col min="15872" max="15872" width="17.140625" style="536" hidden="1"/>
    <col min="15873" max="15873" width="25" style="536" hidden="1"/>
    <col min="15874" max="16123" width="9.140625" style="536" hidden="1"/>
    <col min="16124" max="16124" width="4.7109375" style="536" hidden="1"/>
    <col min="16125" max="16125" width="49" style="536" hidden="1"/>
    <col min="16126" max="16126" width="16.42578125" style="536" hidden="1"/>
    <col min="16127" max="16127" width="18.28515625" style="536" hidden="1"/>
    <col min="16128" max="16128" width="17.140625" style="536" hidden="1"/>
    <col min="16129" max="16130" width="25" style="536" hidden="1"/>
    <col min="16131" max="16131" width="16.42578125" style="536" hidden="1"/>
    <col min="16132" max="16132" width="18.28515625" style="536" hidden="1"/>
    <col min="16133" max="16133" width="17.140625" style="536" hidden="1"/>
    <col min="16134" max="16136" width="25" style="536" hidden="1"/>
    <col min="16137" max="16384" width="9.140625" style="536" hidden="1"/>
  </cols>
  <sheetData>
    <row r="1" spans="1:13" s="1" customFormat="1" ht="14.25" customHeight="1" x14ac:dyDescent="0.2">
      <c r="A1" s="597" t="s">
        <v>264</v>
      </c>
      <c r="B1" s="597"/>
      <c r="E1" s="15"/>
      <c r="F1" s="15"/>
      <c r="G1" s="12"/>
      <c r="I1" s="2"/>
    </row>
    <row r="2" spans="1:13" s="7" customFormat="1" ht="15" customHeight="1" x14ac:dyDescent="0.2">
      <c r="A2" s="231"/>
      <c r="B2" s="232"/>
      <c r="C2" s="233"/>
      <c r="D2" s="233"/>
      <c r="E2" s="234"/>
      <c r="F2" s="234"/>
      <c r="G2" s="235"/>
      <c r="I2" s="616" t="s">
        <v>195</v>
      </c>
      <c r="J2" s="617"/>
      <c r="K2" s="617"/>
      <c r="L2" s="617"/>
      <c r="M2" s="618"/>
    </row>
    <row r="3" spans="1:13" s="7" customFormat="1" ht="18" customHeight="1" thickBot="1" x14ac:dyDescent="0.25">
      <c r="A3" s="236"/>
      <c r="B3" s="6"/>
      <c r="C3" s="586" t="s">
        <v>18</v>
      </c>
      <c r="D3" s="587" t="s">
        <v>259</v>
      </c>
      <c r="E3" s="588" t="s">
        <v>89</v>
      </c>
      <c r="F3" s="587" t="s">
        <v>4</v>
      </c>
      <c r="G3" s="588" t="s">
        <v>87</v>
      </c>
      <c r="I3" s="539" t="s">
        <v>196</v>
      </c>
      <c r="J3" s="540"/>
      <c r="K3" s="540" t="s">
        <v>198</v>
      </c>
      <c r="L3" s="540" t="s">
        <v>197</v>
      </c>
      <c r="M3" s="541" t="s">
        <v>88</v>
      </c>
    </row>
    <row r="4" spans="1:13" s="7" customFormat="1" ht="15" customHeight="1" thickBot="1" x14ac:dyDescent="0.25">
      <c r="A4" s="241"/>
      <c r="B4" s="352" t="s">
        <v>16</v>
      </c>
      <c r="C4" s="589" t="s">
        <v>18</v>
      </c>
      <c r="D4" s="590"/>
      <c r="E4" s="591"/>
      <c r="F4" s="591"/>
      <c r="G4" s="592"/>
      <c r="I4" s="110" t="s">
        <v>16</v>
      </c>
      <c r="J4" s="111"/>
      <c r="K4" s="111"/>
      <c r="L4" s="111"/>
      <c r="M4" s="112"/>
    </row>
    <row r="5" spans="1:13" s="7" customFormat="1" ht="15" customHeight="1" x14ac:dyDescent="0.2">
      <c r="A5" s="241"/>
      <c r="B5" s="6" t="s">
        <v>70</v>
      </c>
      <c r="C5" s="276">
        <f>Costs!C5</f>
        <v>0</v>
      </c>
      <c r="D5" s="277"/>
      <c r="E5" s="277">
        <v>150</v>
      </c>
      <c r="F5" s="520"/>
      <c r="G5" s="521">
        <f>C5/E5</f>
        <v>0</v>
      </c>
      <c r="I5" s="113">
        <f>IF(G5&gt;3,1,0)</f>
        <v>0</v>
      </c>
      <c r="J5" s="114">
        <f>G5-3</f>
        <v>-3</v>
      </c>
      <c r="K5" s="114">
        <f>IF(J5&gt;0, J5,0)</f>
        <v>0</v>
      </c>
      <c r="L5" s="114">
        <f>K5*$M5</f>
        <v>0</v>
      </c>
      <c r="M5" s="115">
        <v>1</v>
      </c>
    </row>
    <row r="6" spans="1:13" s="7" customFormat="1" ht="15" customHeight="1" x14ac:dyDescent="0.2">
      <c r="A6" s="241"/>
      <c r="B6" s="6" t="s">
        <v>71</v>
      </c>
      <c r="C6" s="276">
        <f>Costs!C6</f>
        <v>0</v>
      </c>
      <c r="D6" s="277"/>
      <c r="E6" s="277">
        <v>75</v>
      </c>
      <c r="F6" s="520"/>
      <c r="G6" s="521">
        <f>C6/E6</f>
        <v>0</v>
      </c>
      <c r="I6" s="116">
        <f>IF(G6&gt;3,1,0)</f>
        <v>0</v>
      </c>
      <c r="J6" s="117">
        <f>G6-3</f>
        <v>-3</v>
      </c>
      <c r="K6" s="117">
        <f>IF(J6&gt;0, J6,0)</f>
        <v>0</v>
      </c>
      <c r="L6" s="117">
        <f>K6*$M6</f>
        <v>0</v>
      </c>
      <c r="M6" s="118">
        <v>1</v>
      </c>
    </row>
    <row r="7" spans="1:13" s="7" customFormat="1" ht="15" customHeight="1" x14ac:dyDescent="0.2">
      <c r="A7" s="241"/>
      <c r="B7" s="6" t="s">
        <v>72</v>
      </c>
      <c r="C7" s="276">
        <f>Costs!C7</f>
        <v>0</v>
      </c>
      <c r="D7" s="277"/>
      <c r="E7" s="277">
        <v>100</v>
      </c>
      <c r="F7" s="520"/>
      <c r="G7" s="521">
        <f>C7/E7</f>
        <v>0</v>
      </c>
      <c r="I7" s="116">
        <f>IF(G7&gt;3,1,0)</f>
        <v>0</v>
      </c>
      <c r="J7" s="117">
        <f>G7-3</f>
        <v>-3</v>
      </c>
      <c r="K7" s="117">
        <f>IF(J7&gt;0, J7,0)</f>
        <v>0</v>
      </c>
      <c r="L7" s="117">
        <f>K7*$M7</f>
        <v>0</v>
      </c>
      <c r="M7" s="118">
        <v>1</v>
      </c>
    </row>
    <row r="8" spans="1:13" s="7" customFormat="1" ht="15" customHeight="1" x14ac:dyDescent="0.2">
      <c r="A8" s="241"/>
      <c r="B8" s="6" t="s">
        <v>73</v>
      </c>
      <c r="C8" s="276">
        <f>Costs!C8</f>
        <v>0</v>
      </c>
      <c r="D8" s="277"/>
      <c r="E8" s="277">
        <v>17</v>
      </c>
      <c r="F8" s="520"/>
      <c r="G8" s="521">
        <f>C8/E8</f>
        <v>0</v>
      </c>
      <c r="I8" s="116">
        <f>IF(G8&gt;3,1,0)</f>
        <v>0</v>
      </c>
      <c r="J8" s="117">
        <f>G8-3</f>
        <v>-3</v>
      </c>
      <c r="K8" s="117">
        <f>IF(J8&gt;0, J8,0)</f>
        <v>0</v>
      </c>
      <c r="L8" s="117">
        <f>K8*$M8</f>
        <v>0</v>
      </c>
      <c r="M8" s="118">
        <v>1</v>
      </c>
    </row>
    <row r="9" spans="1:13" s="7" customFormat="1" ht="15" customHeight="1" x14ac:dyDescent="0.2">
      <c r="A9" s="241"/>
      <c r="B9" s="6" t="s">
        <v>22</v>
      </c>
      <c r="C9" s="276">
        <f>Costs!C9</f>
        <v>0</v>
      </c>
      <c r="D9" s="277"/>
      <c r="E9" s="277">
        <v>30.25</v>
      </c>
      <c r="F9" s="520"/>
      <c r="G9" s="521">
        <f>C9/E9</f>
        <v>0</v>
      </c>
      <c r="I9" s="116">
        <f>IF(G9&gt;3,1,0)</f>
        <v>0</v>
      </c>
      <c r="J9" s="117">
        <f>G9-3</f>
        <v>-3</v>
      </c>
      <c r="K9" s="117">
        <f>IF(J9&gt;0, J9,0)</f>
        <v>0</v>
      </c>
      <c r="L9" s="117">
        <f>K9*$M9</f>
        <v>0</v>
      </c>
      <c r="M9" s="118">
        <v>2</v>
      </c>
    </row>
    <row r="10" spans="1:13" s="7" customFormat="1" ht="15" customHeight="1" x14ac:dyDescent="0.2">
      <c r="A10" s="241"/>
      <c r="B10" s="6" t="s">
        <v>74</v>
      </c>
      <c r="C10" s="276">
        <f>'Use Allocation'!E13/500</f>
        <v>0</v>
      </c>
      <c r="D10" s="277"/>
      <c r="E10" s="278" t="s">
        <v>53</v>
      </c>
      <c r="F10" s="520"/>
      <c r="G10" s="521" t="s">
        <v>53</v>
      </c>
      <c r="I10" s="116"/>
      <c r="J10" s="117"/>
      <c r="K10" s="117"/>
      <c r="L10" s="117"/>
      <c r="M10" s="118"/>
    </row>
    <row r="11" spans="1:13" s="7" customFormat="1" ht="15" customHeight="1" thickBot="1" x14ac:dyDescent="0.25">
      <c r="A11" s="241"/>
      <c r="B11" s="6" t="s">
        <v>75</v>
      </c>
      <c r="C11" s="276">
        <f>'Development by Block'!AD7</f>
        <v>0</v>
      </c>
      <c r="D11" s="277"/>
      <c r="E11" s="277" t="s">
        <v>53</v>
      </c>
      <c r="F11" s="520"/>
      <c r="G11" s="521" t="s">
        <v>53</v>
      </c>
      <c r="I11" s="119"/>
      <c r="J11" s="120"/>
      <c r="K11" s="120"/>
      <c r="L11" s="120"/>
      <c r="M11" s="121"/>
    </row>
    <row r="12" spans="1:13" s="7" customFormat="1" ht="15" customHeight="1" thickBot="1" x14ac:dyDescent="0.25">
      <c r="A12" s="241"/>
      <c r="B12" s="352" t="s">
        <v>26</v>
      </c>
      <c r="C12" s="589" t="str">
        <f>'Development by Block'!AD8</f>
        <v>Total SF</v>
      </c>
      <c r="D12" s="590"/>
      <c r="E12" s="591"/>
      <c r="F12" s="591"/>
      <c r="G12" s="592"/>
      <c r="I12" s="122" t="s">
        <v>26</v>
      </c>
      <c r="J12" s="123"/>
      <c r="K12" s="123"/>
      <c r="L12" s="123"/>
      <c r="M12" s="124"/>
    </row>
    <row r="13" spans="1:13" s="7" customFormat="1" ht="15" customHeight="1" x14ac:dyDescent="0.2">
      <c r="A13" s="241"/>
      <c r="B13" s="6" t="s">
        <v>90</v>
      </c>
      <c r="C13" s="276">
        <f>'Development by Block'!AD9+'Development by Block'!AD10</f>
        <v>0</v>
      </c>
      <c r="D13" s="277"/>
      <c r="E13" s="278">
        <v>79500</v>
      </c>
      <c r="F13" s="520"/>
      <c r="G13" s="521">
        <f>(C13+C15+C16+C17)/E13</f>
        <v>1.3396226415094339</v>
      </c>
      <c r="I13" s="113">
        <f>IF(G13&gt;3,1,0)</f>
        <v>0</v>
      </c>
      <c r="J13" s="114">
        <f>G13-3</f>
        <v>-1.6603773584905661</v>
      </c>
      <c r="K13" s="114">
        <f>IF(J13&gt;0, J13,0)</f>
        <v>0</v>
      </c>
      <c r="L13" s="114">
        <f>K13*$M13</f>
        <v>0</v>
      </c>
      <c r="M13" s="115">
        <v>1.4285714285714286</v>
      </c>
    </row>
    <row r="14" spans="1:13" s="7" customFormat="1" ht="15" customHeight="1" x14ac:dyDescent="0.2">
      <c r="A14" s="241"/>
      <c r="B14" s="230" t="s">
        <v>91</v>
      </c>
      <c r="C14" s="276">
        <f>'Development by Block'!AD11</f>
        <v>0</v>
      </c>
      <c r="D14" s="277"/>
      <c r="E14" s="278">
        <v>69000</v>
      </c>
      <c r="F14" s="520"/>
      <c r="G14" s="521">
        <f>C14/E14</f>
        <v>0</v>
      </c>
      <c r="I14" s="116">
        <f>IF(G14&gt;3,1,0)</f>
        <v>0</v>
      </c>
      <c r="J14" s="117">
        <f>G14-3</f>
        <v>-3</v>
      </c>
      <c r="K14" s="117">
        <f>IF(J14&gt;0, J14,0)</f>
        <v>0</v>
      </c>
      <c r="L14" s="117">
        <f>K14*$M14</f>
        <v>0</v>
      </c>
      <c r="M14" s="118">
        <v>1.25</v>
      </c>
    </row>
    <row r="15" spans="1:13" s="7" customFormat="1" ht="15" customHeight="1" x14ac:dyDescent="0.2">
      <c r="A15" s="241"/>
      <c r="B15" s="6" t="s">
        <v>92</v>
      </c>
      <c r="C15" s="276">
        <f>'Use Allocation'!C13</f>
        <v>0</v>
      </c>
      <c r="D15" s="277"/>
      <c r="E15" s="278" t="s">
        <v>93</v>
      </c>
      <c r="F15" s="277"/>
      <c r="G15" s="278" t="s">
        <v>93</v>
      </c>
      <c r="I15" s="116"/>
      <c r="J15" s="117"/>
      <c r="K15" s="117"/>
      <c r="L15" s="117"/>
      <c r="M15" s="118"/>
    </row>
    <row r="16" spans="1:13" s="7" customFormat="1" ht="15" customHeight="1" x14ac:dyDescent="0.2">
      <c r="A16" s="348"/>
      <c r="B16" s="6" t="s">
        <v>94</v>
      </c>
      <c r="C16" s="276">
        <f>Costs!C16</f>
        <v>46500</v>
      </c>
      <c r="D16" s="277"/>
      <c r="E16" s="278" t="s">
        <v>93</v>
      </c>
      <c r="F16" s="277"/>
      <c r="G16" s="278" t="s">
        <v>93</v>
      </c>
      <c r="I16" s="116"/>
      <c r="J16" s="117"/>
      <c r="K16" s="117"/>
      <c r="L16" s="117"/>
      <c r="M16" s="118"/>
    </row>
    <row r="17" spans="1:13" s="7" customFormat="1" ht="15" customHeight="1" thickBot="1" x14ac:dyDescent="0.25">
      <c r="A17" s="237"/>
      <c r="B17" s="6" t="s">
        <v>95</v>
      </c>
      <c r="C17" s="276">
        <f>Costs!C17</f>
        <v>60000</v>
      </c>
      <c r="D17" s="277"/>
      <c r="E17" s="278" t="s">
        <v>93</v>
      </c>
      <c r="F17" s="277"/>
      <c r="G17" s="278" t="s">
        <v>93</v>
      </c>
      <c r="I17" s="119"/>
      <c r="J17" s="120"/>
      <c r="K17" s="120"/>
      <c r="L17" s="120"/>
      <c r="M17" s="121"/>
    </row>
    <row r="18" spans="1:13" s="7" customFormat="1" ht="15" customHeight="1" thickBot="1" x14ac:dyDescent="0.25">
      <c r="A18" s="236"/>
      <c r="B18" s="352" t="s">
        <v>35</v>
      </c>
      <c r="C18" s="589" t="str">
        <f>'Development by Block'!AD12</f>
        <v>Total SF</v>
      </c>
      <c r="D18" s="590"/>
      <c r="E18" s="591"/>
      <c r="F18" s="591"/>
      <c r="G18" s="592"/>
      <c r="I18" s="122" t="s">
        <v>35</v>
      </c>
      <c r="J18" s="123"/>
      <c r="K18" s="123"/>
      <c r="L18" s="123"/>
      <c r="M18" s="124"/>
    </row>
    <row r="19" spans="1:13" s="7" customFormat="1" ht="15" customHeight="1" x14ac:dyDescent="0.2">
      <c r="A19" s="237"/>
      <c r="B19" s="6" t="s">
        <v>96</v>
      </c>
      <c r="C19" s="276">
        <f>'Development by Block'!AD13</f>
        <v>0</v>
      </c>
      <c r="D19" s="277"/>
      <c r="E19" s="278">
        <v>17500</v>
      </c>
      <c r="F19" s="520"/>
      <c r="G19" s="521">
        <f>(C19+C21+C22+C23)/E19</f>
        <v>0</v>
      </c>
      <c r="I19" s="113">
        <f>IF(G19&gt;3,1,0)</f>
        <v>0</v>
      </c>
      <c r="J19" s="114">
        <f>G19-3</f>
        <v>-3</v>
      </c>
      <c r="K19" s="114">
        <f>IF(J19&gt;0, J19,0)</f>
        <v>0</v>
      </c>
      <c r="L19" s="114">
        <f>K19*$M19</f>
        <v>0</v>
      </c>
      <c r="M19" s="115">
        <v>1.4285714285714286</v>
      </c>
    </row>
    <row r="20" spans="1:13" s="7" customFormat="1" x14ac:dyDescent="0.2">
      <c r="A20" s="236"/>
      <c r="B20" s="6" t="s">
        <v>97</v>
      </c>
      <c r="C20" s="276">
        <f>'Development by Block'!AD14+'Development by Block'!AD15</f>
        <v>40000</v>
      </c>
      <c r="D20" s="277"/>
      <c r="E20" s="277">
        <v>30000</v>
      </c>
      <c r="F20" s="520"/>
      <c r="G20" s="521">
        <f>C20/E20</f>
        <v>1.3333333333333333</v>
      </c>
      <c r="I20" s="116">
        <f>IF(G20&gt;3,1,0)</f>
        <v>0</v>
      </c>
      <c r="J20" s="117">
        <f>G20-3</f>
        <v>-1.6666666666666667</v>
      </c>
      <c r="K20" s="117">
        <f>IF(J20&gt;0, J20,0)</f>
        <v>0</v>
      </c>
      <c r="L20" s="117">
        <f>K20*$M20</f>
        <v>0</v>
      </c>
      <c r="M20" s="118">
        <v>1.3333333333333333</v>
      </c>
    </row>
    <row r="21" spans="1:13" s="7" customFormat="1" x14ac:dyDescent="0.2">
      <c r="A21" s="236"/>
      <c r="B21" s="6" t="s">
        <v>152</v>
      </c>
      <c r="C21" s="276">
        <f>Costs!C22</f>
        <v>0</v>
      </c>
      <c r="D21" s="277"/>
      <c r="E21" s="277" t="s">
        <v>98</v>
      </c>
      <c r="F21" s="276"/>
      <c r="G21" s="278" t="s">
        <v>98</v>
      </c>
      <c r="I21" s="125"/>
      <c r="J21" s="117"/>
      <c r="K21" s="117"/>
      <c r="L21" s="117"/>
      <c r="M21" s="126"/>
    </row>
    <row r="22" spans="1:13" s="7" customFormat="1" ht="13.5" thickBot="1" x14ac:dyDescent="0.25">
      <c r="A22" s="236"/>
      <c r="B22" s="6" t="s">
        <v>79</v>
      </c>
      <c r="C22" s="276">
        <f>Costs!C23</f>
        <v>0</v>
      </c>
      <c r="D22" s="277"/>
      <c r="E22" s="277" t="s">
        <v>98</v>
      </c>
      <c r="F22" s="276"/>
      <c r="G22" s="278" t="s">
        <v>98</v>
      </c>
      <c r="I22" s="125"/>
      <c r="J22" s="117"/>
      <c r="K22" s="117"/>
      <c r="L22" s="117"/>
      <c r="M22" s="126"/>
    </row>
    <row r="23" spans="1:13" s="7" customFormat="1" ht="13.5" thickBot="1" x14ac:dyDescent="0.25">
      <c r="A23" s="238"/>
      <c r="B23" s="7" t="s">
        <v>99</v>
      </c>
      <c r="C23" s="276">
        <f>Costs!C24</f>
        <v>0</v>
      </c>
      <c r="D23" s="277"/>
      <c r="E23" s="277" t="s">
        <v>98</v>
      </c>
      <c r="F23" s="276"/>
      <c r="G23" s="278" t="s">
        <v>98</v>
      </c>
      <c r="I23" s="127">
        <f>SUM(I5:I20)</f>
        <v>0</v>
      </c>
      <c r="J23" s="128" t="s">
        <v>199</v>
      </c>
      <c r="K23" s="129"/>
      <c r="L23" s="129"/>
      <c r="M23" s="130"/>
    </row>
    <row r="24" spans="1:13" s="7" customFormat="1" ht="13.5" thickBot="1" x14ac:dyDescent="0.25">
      <c r="A24" s="236"/>
      <c r="B24" s="352" t="s">
        <v>81</v>
      </c>
      <c r="C24" s="589" t="str">
        <f>'Development by Block'!AD16</f>
        <v>Total SF</v>
      </c>
      <c r="D24" s="590"/>
      <c r="E24" s="591"/>
      <c r="F24" s="591"/>
      <c r="G24" s="592"/>
      <c r="H24" s="44"/>
      <c r="I24" s="6"/>
    </row>
    <row r="25" spans="1:13" s="7" customFormat="1" x14ac:dyDescent="0.2">
      <c r="A25" s="237"/>
      <c r="B25" s="6" t="s">
        <v>149</v>
      </c>
      <c r="C25" s="276">
        <f>Costs!C26</f>
        <v>1500</v>
      </c>
      <c r="D25" s="277"/>
      <c r="E25" s="278" t="s">
        <v>53</v>
      </c>
      <c r="F25" s="520"/>
      <c r="G25" s="521" t="s">
        <v>53</v>
      </c>
      <c r="I25" s="6"/>
    </row>
    <row r="26" spans="1:13" s="7" customFormat="1" x14ac:dyDescent="0.2">
      <c r="A26" s="237"/>
      <c r="B26" s="6" t="s">
        <v>179</v>
      </c>
      <c r="C26" s="276">
        <f>Costs!C27</f>
        <v>0</v>
      </c>
      <c r="D26" s="277"/>
      <c r="E26" s="278" t="s">
        <v>53</v>
      </c>
      <c r="F26" s="520"/>
      <c r="G26" s="521" t="s">
        <v>53</v>
      </c>
      <c r="I26" s="6"/>
    </row>
    <row r="27" spans="1:13" s="7" customFormat="1" ht="13.5" thickBot="1" x14ac:dyDescent="0.25">
      <c r="A27" s="237"/>
      <c r="B27" s="6" t="s">
        <v>180</v>
      </c>
      <c r="C27" s="276">
        <f>Costs!C28</f>
        <v>0</v>
      </c>
      <c r="D27" s="277"/>
      <c r="E27" s="278" t="s">
        <v>53</v>
      </c>
      <c r="F27" s="520"/>
      <c r="G27" s="521" t="s">
        <v>53</v>
      </c>
      <c r="I27" s="6"/>
    </row>
    <row r="28" spans="1:13" s="7" customFormat="1" ht="13.5" thickBot="1" x14ac:dyDescent="0.25">
      <c r="A28" s="237"/>
      <c r="B28" s="352" t="s">
        <v>46</v>
      </c>
      <c r="C28" s="589" t="str">
        <f>'Development by Block'!AD20</f>
        <v>Total SF</v>
      </c>
      <c r="D28" s="590"/>
      <c r="E28" s="591"/>
      <c r="F28" s="591"/>
      <c r="G28" s="592"/>
      <c r="I28" s="6"/>
    </row>
    <row r="29" spans="1:13" s="7" customFormat="1" x14ac:dyDescent="0.2">
      <c r="A29" s="237"/>
      <c r="B29" s="6" t="s">
        <v>47</v>
      </c>
      <c r="C29" s="276">
        <f>'Development by Block'!AD21</f>
        <v>25000</v>
      </c>
      <c r="D29" s="277"/>
      <c r="E29" s="278" t="s">
        <v>53</v>
      </c>
      <c r="F29" s="520"/>
      <c r="G29" s="521" t="s">
        <v>53</v>
      </c>
      <c r="I29" s="6"/>
    </row>
    <row r="30" spans="1:13" s="7" customFormat="1" x14ac:dyDescent="0.2">
      <c r="A30" s="237"/>
      <c r="B30" s="6" t="s">
        <v>48</v>
      </c>
      <c r="C30" s="276">
        <f>'Development by Block'!AD22</f>
        <v>10000</v>
      </c>
      <c r="D30" s="277"/>
      <c r="E30" s="278" t="s">
        <v>53</v>
      </c>
      <c r="F30" s="520"/>
      <c r="G30" s="521" t="s">
        <v>53</v>
      </c>
      <c r="I30" s="6"/>
    </row>
    <row r="31" spans="1:13" s="7" customFormat="1" ht="13.5" thickBot="1" x14ac:dyDescent="0.25">
      <c r="A31" s="237"/>
      <c r="B31" s="6" t="s">
        <v>49</v>
      </c>
      <c r="C31" s="276">
        <f>'Development by Block'!AD23</f>
        <v>10000</v>
      </c>
      <c r="D31" s="277"/>
      <c r="E31" s="278" t="s">
        <v>53</v>
      </c>
      <c r="F31" s="520"/>
      <c r="G31" s="521" t="s">
        <v>53</v>
      </c>
      <c r="I31" s="6"/>
    </row>
    <row r="32" spans="1:13" s="7" customFormat="1" ht="13.5" thickBot="1" x14ac:dyDescent="0.25">
      <c r="A32" s="237"/>
      <c r="B32" s="352" t="s">
        <v>50</v>
      </c>
      <c r="C32" s="589" t="str">
        <f>'Development by Block'!AD24</f>
        <v>Total Spaces</v>
      </c>
      <c r="D32" s="590"/>
      <c r="E32" s="591"/>
      <c r="F32" s="591"/>
      <c r="G32" s="592"/>
      <c r="I32" s="6"/>
    </row>
    <row r="33" spans="1:9" s="7" customFormat="1" x14ac:dyDescent="0.2">
      <c r="A33" s="237"/>
      <c r="B33" s="6" t="s">
        <v>231</v>
      </c>
      <c r="C33" s="276">
        <f>'Development by Block'!AD25</f>
        <v>0</v>
      </c>
      <c r="D33" s="277"/>
      <c r="E33" s="278" t="s">
        <v>53</v>
      </c>
      <c r="F33" s="520"/>
      <c r="G33" s="521" t="s">
        <v>53</v>
      </c>
      <c r="I33" s="6"/>
    </row>
    <row r="34" spans="1:9" s="7" customFormat="1" x14ac:dyDescent="0.2">
      <c r="A34" s="237"/>
      <c r="B34" s="6" t="s">
        <v>235</v>
      </c>
      <c r="C34" s="276">
        <f>'Development by Block'!AD26</f>
        <v>0</v>
      </c>
      <c r="D34" s="277"/>
      <c r="E34" s="278" t="s">
        <v>53</v>
      </c>
      <c r="F34" s="520"/>
      <c r="G34" s="521" t="s">
        <v>53</v>
      </c>
      <c r="I34" s="6"/>
    </row>
    <row r="35" spans="1:9" s="7" customFormat="1" x14ac:dyDescent="0.2">
      <c r="A35" s="237"/>
      <c r="B35" s="6" t="s">
        <v>229</v>
      </c>
      <c r="C35" s="276">
        <f>'Development by Block'!AD27</f>
        <v>0</v>
      </c>
      <c r="D35" s="277"/>
      <c r="E35" s="278" t="s">
        <v>53</v>
      </c>
      <c r="F35" s="520"/>
      <c r="G35" s="521" t="s">
        <v>53</v>
      </c>
      <c r="I35" s="6"/>
    </row>
    <row r="36" spans="1:9" s="7" customFormat="1" x14ac:dyDescent="0.2">
      <c r="A36" s="237"/>
      <c r="B36" s="6" t="s">
        <v>230</v>
      </c>
      <c r="C36" s="276">
        <f>'Development by Block'!AD28</f>
        <v>0</v>
      </c>
      <c r="D36" s="277"/>
      <c r="E36" s="278" t="s">
        <v>53</v>
      </c>
      <c r="F36" s="520"/>
      <c r="G36" s="521" t="s">
        <v>53</v>
      </c>
      <c r="I36" s="6"/>
    </row>
    <row r="37" spans="1:9" s="7" customFormat="1" x14ac:dyDescent="0.2">
      <c r="A37" s="237"/>
      <c r="B37" s="6" t="s">
        <v>247</v>
      </c>
      <c r="C37" s="276">
        <f>'Development by Block'!AD29</f>
        <v>160</v>
      </c>
      <c r="D37" s="277"/>
      <c r="E37" s="278" t="s">
        <v>53</v>
      </c>
      <c r="F37" s="520"/>
      <c r="G37" s="521" t="s">
        <v>53</v>
      </c>
      <c r="I37" s="6"/>
    </row>
    <row r="38" spans="1:9" s="7" customFormat="1" ht="13.5" thickBot="1" x14ac:dyDescent="0.25">
      <c r="A38" s="237"/>
      <c r="B38" s="6" t="s">
        <v>54</v>
      </c>
      <c r="C38" s="276">
        <f>'Development by Block'!AD30</f>
        <v>0</v>
      </c>
      <c r="D38" s="277"/>
      <c r="E38" s="277" t="s">
        <v>53</v>
      </c>
      <c r="F38" s="520"/>
      <c r="G38" s="521" t="s">
        <v>53</v>
      </c>
      <c r="I38" s="6"/>
    </row>
    <row r="39" spans="1:9" s="7" customFormat="1" ht="13.5" thickBot="1" x14ac:dyDescent="0.25">
      <c r="A39" s="237"/>
      <c r="B39" s="400" t="s">
        <v>238</v>
      </c>
      <c r="C39" s="16"/>
      <c r="D39" s="16"/>
      <c r="E39" s="17"/>
      <c r="F39" s="522"/>
      <c r="G39" s="523">
        <f>IF(I23&gt;0,"CAUTION",0)</f>
        <v>0</v>
      </c>
      <c r="I39" s="6"/>
    </row>
    <row r="40" spans="1:9" s="7" customFormat="1" x14ac:dyDescent="0.2">
      <c r="A40" s="237"/>
      <c r="B40" s="6"/>
      <c r="E40" s="18"/>
      <c r="F40" s="18"/>
      <c r="G40" s="13"/>
      <c r="I40" s="6"/>
    </row>
    <row r="41" spans="1:9" s="7" customFormat="1" hidden="1" x14ac:dyDescent="0.2">
      <c r="A41" s="237"/>
      <c r="B41" s="6"/>
      <c r="E41" s="18"/>
      <c r="F41" s="18"/>
      <c r="G41" s="13"/>
      <c r="I41" s="6"/>
    </row>
    <row r="42" spans="1:9" s="7" customFormat="1" hidden="1" x14ac:dyDescent="0.2">
      <c r="A42" s="237"/>
      <c r="B42" s="6"/>
      <c r="E42" s="18"/>
      <c r="F42" s="18"/>
      <c r="G42" s="6"/>
      <c r="I42" s="6"/>
    </row>
    <row r="43" spans="1:9" s="7" customFormat="1" hidden="1" x14ac:dyDescent="0.2">
      <c r="A43" s="237"/>
      <c r="B43" s="6"/>
      <c r="E43" s="18"/>
      <c r="F43" s="18"/>
      <c r="G43" s="13"/>
      <c r="I43" s="6"/>
    </row>
    <row r="44" spans="1:9" hidden="1" x14ac:dyDescent="0.2">
      <c r="A44" s="237"/>
    </row>
    <row r="45" spans="1:9" hidden="1" x14ac:dyDescent="0.2">
      <c r="A45" s="237"/>
    </row>
    <row r="46" spans="1:9" hidden="1" x14ac:dyDescent="0.2">
      <c r="A46" s="237"/>
    </row>
    <row r="47" spans="1:9" hidden="1" x14ac:dyDescent="0.2">
      <c r="A47" s="237"/>
    </row>
    <row r="48" spans="1:9" hidden="1" x14ac:dyDescent="0.2">
      <c r="A48" s="237"/>
    </row>
    <row r="49" spans="1:1" hidden="1" x14ac:dyDescent="0.2">
      <c r="A49" s="237"/>
    </row>
    <row r="50" spans="1:1" hidden="1" x14ac:dyDescent="0.2">
      <c r="A50" s="237"/>
    </row>
    <row r="51" spans="1:1" hidden="1" x14ac:dyDescent="0.2">
      <c r="A51" s="237"/>
    </row>
    <row r="52" spans="1:1" hidden="1" x14ac:dyDescent="0.2">
      <c r="A52" s="237"/>
    </row>
    <row r="53" spans="1:1" hidden="1" x14ac:dyDescent="0.2">
      <c r="A53" s="237"/>
    </row>
    <row r="54" spans="1:1" hidden="1" x14ac:dyDescent="0.2">
      <c r="A54" s="237"/>
    </row>
    <row r="55" spans="1:1" hidden="1" x14ac:dyDescent="0.2">
      <c r="A55" s="237"/>
    </row>
    <row r="56" spans="1:1" hidden="1" x14ac:dyDescent="0.2">
      <c r="A56" s="237"/>
    </row>
    <row r="57" spans="1:1" hidden="1" x14ac:dyDescent="0.2">
      <c r="A57" s="237"/>
    </row>
    <row r="58" spans="1:1" hidden="1" x14ac:dyDescent="0.2">
      <c r="A58" s="237"/>
    </row>
    <row r="59" spans="1:1" hidden="1" x14ac:dyDescent="0.2">
      <c r="A59" s="237"/>
    </row>
    <row r="60" spans="1:1" hidden="1" x14ac:dyDescent="0.2">
      <c r="A60" s="237"/>
    </row>
    <row r="61" spans="1:1" hidden="1" x14ac:dyDescent="0.2">
      <c r="A61" s="237"/>
    </row>
    <row r="62" spans="1:1" hidden="1" x14ac:dyDescent="0.2">
      <c r="A62" s="237"/>
    </row>
    <row r="63" spans="1:1" hidden="1" x14ac:dyDescent="0.2">
      <c r="A63" s="237"/>
    </row>
    <row r="64" spans="1:1" hidden="1" x14ac:dyDescent="0.2">
      <c r="A64" s="237"/>
    </row>
    <row r="65" spans="1:1" hidden="1" x14ac:dyDescent="0.2">
      <c r="A65" s="237"/>
    </row>
  </sheetData>
  <mergeCells count="1">
    <mergeCell ref="I2:M2"/>
  </mergeCells>
  <printOptions horizontalCentered="1"/>
  <pageMargins left="0.25" right="0.25" top="0.5" bottom="0.5" header="0.3" footer="0.3"/>
  <pageSetup scale="85" fitToHeight="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R81"/>
  <sheetViews>
    <sheetView showGridLines="0" zoomScaleNormal="100" zoomScaleSheetLayoutView="85" workbookViewId="0"/>
  </sheetViews>
  <sheetFormatPr defaultColWidth="0" defaultRowHeight="12.75" zeroHeight="1" x14ac:dyDescent="0.2"/>
  <cols>
    <col min="1" max="1" width="5.7109375" style="536" customWidth="1"/>
    <col min="2" max="2" width="47.140625" style="536" customWidth="1"/>
    <col min="3" max="3" width="15.7109375" style="536" customWidth="1"/>
    <col min="4" max="4" width="2.42578125" style="536" customWidth="1"/>
    <col min="5" max="5" width="15.7109375" style="536" customWidth="1"/>
    <col min="6" max="6" width="2.7109375" style="536" customWidth="1"/>
    <col min="7" max="7" width="15.7109375" style="536" customWidth="1"/>
    <col min="8" max="8" width="2.7109375" style="536" bestFit="1" customWidth="1"/>
    <col min="9" max="9" width="15.7109375" style="536" customWidth="1"/>
    <col min="10" max="10" width="2.7109375" style="536" bestFit="1" customWidth="1"/>
    <col min="11" max="11" width="15.7109375" style="536" customWidth="1"/>
    <col min="12" max="12" width="3.28515625" style="536" bestFit="1" customWidth="1"/>
    <col min="13" max="13" width="15.7109375" style="536" customWidth="1"/>
    <col min="14" max="14" width="5.7109375" style="536" customWidth="1"/>
    <col min="15" max="15" width="10.7109375" style="536" hidden="1" customWidth="1"/>
    <col min="16" max="16" width="21.140625" style="536" hidden="1" customWidth="1"/>
    <col min="17" max="17" width="12.140625" style="536" hidden="1" customWidth="1"/>
    <col min="18" max="18" width="0" style="536" hidden="1" customWidth="1"/>
    <col min="19" max="16384" width="10.7109375" style="536" hidden="1"/>
  </cols>
  <sheetData>
    <row r="1" spans="1:18" s="92" customFormat="1" ht="14.25" customHeight="1" x14ac:dyDescent="0.2">
      <c r="A1" s="597" t="s">
        <v>265</v>
      </c>
      <c r="B1" s="596"/>
      <c r="C1" s="1"/>
      <c r="D1" s="1"/>
      <c r="E1" s="12"/>
      <c r="F1" s="12"/>
      <c r="G1" s="12"/>
      <c r="H1" s="12"/>
      <c r="I1" s="12"/>
      <c r="J1" s="12"/>
      <c r="K1" s="19"/>
      <c r="L1" s="12"/>
      <c r="M1" s="12"/>
      <c r="N1" s="10"/>
      <c r="O1" s="536"/>
      <c r="P1" s="536"/>
      <c r="Q1" s="536"/>
      <c r="R1" s="1"/>
    </row>
    <row r="2" spans="1:18" s="92" customFormat="1" x14ac:dyDescent="0.2">
      <c r="A2" s="233"/>
      <c r="B2" s="233"/>
      <c r="C2" s="234"/>
      <c r="D2" s="234"/>
      <c r="E2" s="234"/>
      <c r="F2" s="234"/>
      <c r="G2" s="234"/>
      <c r="H2" s="234"/>
      <c r="I2" s="234"/>
      <c r="J2" s="234"/>
      <c r="K2" s="234"/>
      <c r="L2" s="234"/>
      <c r="M2" s="235"/>
      <c r="N2" s="35"/>
      <c r="O2" s="537"/>
      <c r="P2" s="619" t="s">
        <v>232</v>
      </c>
      <c r="Q2" s="620"/>
      <c r="R2" s="7"/>
    </row>
    <row r="3" spans="1:18" s="92" customFormat="1" ht="27" customHeight="1" thickBot="1" x14ac:dyDescent="0.25">
      <c r="A3" s="538"/>
      <c r="B3" s="4"/>
      <c r="C3" s="579" t="s">
        <v>18</v>
      </c>
      <c r="D3" s="279" t="s">
        <v>65</v>
      </c>
      <c r="E3" s="280" t="s">
        <v>100</v>
      </c>
      <c r="F3" s="281" t="s">
        <v>4</v>
      </c>
      <c r="G3" s="280" t="s">
        <v>159</v>
      </c>
      <c r="H3" s="281" t="s">
        <v>102</v>
      </c>
      <c r="I3" s="280" t="s">
        <v>160</v>
      </c>
      <c r="J3" s="281" t="s">
        <v>102</v>
      </c>
      <c r="K3" s="282" t="s">
        <v>154</v>
      </c>
      <c r="L3" s="280" t="s">
        <v>2</v>
      </c>
      <c r="M3" s="283" t="s">
        <v>103</v>
      </c>
      <c r="N3" s="35"/>
      <c r="O3" s="42" t="s">
        <v>191</v>
      </c>
      <c r="P3" s="36" t="s">
        <v>190</v>
      </c>
      <c r="Q3" s="45" t="s">
        <v>193</v>
      </c>
      <c r="R3" s="7"/>
    </row>
    <row r="4" spans="1:18" s="92" customFormat="1" ht="15" customHeight="1" thickBot="1" x14ac:dyDescent="0.25">
      <c r="A4" s="538"/>
      <c r="B4" s="353" t="s">
        <v>16</v>
      </c>
      <c r="C4" s="593" t="s">
        <v>18</v>
      </c>
      <c r="D4" s="354"/>
      <c r="E4" s="355"/>
      <c r="F4" s="356"/>
      <c r="G4" s="357"/>
      <c r="H4" s="358"/>
      <c r="I4" s="355"/>
      <c r="J4" s="355"/>
      <c r="K4" s="359"/>
      <c r="L4" s="358"/>
      <c r="M4" s="360"/>
      <c r="N4" s="35"/>
      <c r="O4" s="77"/>
      <c r="P4" s="75" t="str">
        <f>B4</f>
        <v>Residential</v>
      </c>
      <c r="Q4" s="76"/>
      <c r="R4" s="7"/>
    </row>
    <row r="5" spans="1:18" s="92" customFormat="1" ht="15" customHeight="1" x14ac:dyDescent="0.2">
      <c r="A5" s="538"/>
      <c r="B5" s="6" t="s">
        <v>70</v>
      </c>
      <c r="C5" s="208">
        <f>Costs!C5</f>
        <v>0</v>
      </c>
      <c r="D5" s="209"/>
      <c r="E5" s="210">
        <f>ROUND(Costs!D5*Value!$Q$5,-3)</f>
        <v>35000</v>
      </c>
      <c r="F5" s="210"/>
      <c r="G5" s="275">
        <f t="shared" ref="G5:G11" si="0">C5*E5</f>
        <v>0</v>
      </c>
      <c r="H5" s="210"/>
      <c r="I5" s="210">
        <f>Costs!F5-Costs!J5</f>
        <v>0</v>
      </c>
      <c r="J5" s="210"/>
      <c r="K5" s="290">
        <f>((G5-I5)-M5)*(-1)</f>
        <v>0</v>
      </c>
      <c r="L5" s="524"/>
      <c r="M5" s="291">
        <f>(G5-I5)*(1-Market!L5)</f>
        <v>0</v>
      </c>
      <c r="N5" s="73"/>
      <c r="O5" s="77" t="e">
        <f t="shared" ref="O5:O21" si="1">M5/C5</f>
        <v>#DIV/0!</v>
      </c>
      <c r="P5" s="78" t="str">
        <f t="shared" ref="P5:P32" si="2">B5</f>
        <v xml:space="preserve"> - Affordable Podium Apartments </v>
      </c>
      <c r="Q5" s="76">
        <v>0.4</v>
      </c>
      <c r="R5" s="7"/>
    </row>
    <row r="6" spans="1:18" s="92" customFormat="1" ht="15" customHeight="1" x14ac:dyDescent="0.2">
      <c r="A6" s="538"/>
      <c r="B6" s="6" t="s">
        <v>71</v>
      </c>
      <c r="C6" s="208">
        <f>Costs!C6</f>
        <v>0</v>
      </c>
      <c r="D6" s="209"/>
      <c r="E6" s="210">
        <f>ROUND(Costs!D6*Value!$Q$6,-3)</f>
        <v>111000</v>
      </c>
      <c r="F6" s="210"/>
      <c r="G6" s="275">
        <f t="shared" si="0"/>
        <v>0</v>
      </c>
      <c r="H6" s="210"/>
      <c r="I6" s="210">
        <f>Costs!F6-Costs!J6</f>
        <v>0</v>
      </c>
      <c r="J6" s="210"/>
      <c r="K6" s="290">
        <f>((G6-I6)-M6)*(-1)</f>
        <v>0</v>
      </c>
      <c r="L6" s="524"/>
      <c r="M6" s="291">
        <f>(G6-I6)*(1-Market!L6)</f>
        <v>0</v>
      </c>
      <c r="N6" s="73"/>
      <c r="O6" s="77" t="e">
        <f t="shared" si="1"/>
        <v>#DIV/0!</v>
      </c>
      <c r="P6" s="78" t="str">
        <f t="shared" si="2"/>
        <v xml:space="preserve"> - Market-Rate Podium Apartments </v>
      </c>
      <c r="Q6" s="76">
        <v>1.32</v>
      </c>
      <c r="R6" s="7"/>
    </row>
    <row r="7" spans="1:18" s="92" customFormat="1" ht="15" customHeight="1" x14ac:dyDescent="0.2">
      <c r="A7" s="538"/>
      <c r="B7" s="6" t="s">
        <v>72</v>
      </c>
      <c r="C7" s="208">
        <f>Costs!C7</f>
        <v>0</v>
      </c>
      <c r="D7" s="209"/>
      <c r="E7" s="210">
        <f>ROUND(Costs!D7*Value!$Q$7,-3)</f>
        <v>68000</v>
      </c>
      <c r="F7" s="210"/>
      <c r="G7" s="275">
        <f t="shared" si="0"/>
        <v>0</v>
      </c>
      <c r="H7" s="210"/>
      <c r="I7" s="210">
        <f>Costs!F7-Costs!J7</f>
        <v>0</v>
      </c>
      <c r="J7" s="210"/>
      <c r="K7" s="290">
        <f>((G7-I7)-M7)*(-1)</f>
        <v>0</v>
      </c>
      <c r="L7" s="524"/>
      <c r="M7" s="291">
        <f>(G7-I7)*(1-Market!L7)</f>
        <v>0</v>
      </c>
      <c r="N7" s="73"/>
      <c r="O7" s="77" t="e">
        <f t="shared" si="1"/>
        <v>#DIV/0!</v>
      </c>
      <c r="P7" s="78" t="str">
        <f t="shared" si="2"/>
        <v xml:space="preserve"> - Affordable Townhouses</v>
      </c>
      <c r="Q7" s="76">
        <f>Q5</f>
        <v>0.4</v>
      </c>
      <c r="R7" s="7"/>
    </row>
    <row r="8" spans="1:18" s="92" customFormat="1" ht="15" customHeight="1" x14ac:dyDescent="0.2">
      <c r="A8" s="538"/>
      <c r="B8" s="6" t="s">
        <v>73</v>
      </c>
      <c r="C8" s="208">
        <f>Costs!C8</f>
        <v>0</v>
      </c>
      <c r="D8" s="209"/>
      <c r="E8" s="210">
        <f>ROUND(Costs!D8*Value!$Q$8,-3)</f>
        <v>212000</v>
      </c>
      <c r="F8" s="210"/>
      <c r="G8" s="275">
        <f t="shared" si="0"/>
        <v>0</v>
      </c>
      <c r="H8" s="210"/>
      <c r="I8" s="210">
        <f>Costs!F8-Costs!J8</f>
        <v>0</v>
      </c>
      <c r="J8" s="210"/>
      <c r="K8" s="290">
        <f>((G8-I8)-M8)*(-1)</f>
        <v>0</v>
      </c>
      <c r="L8" s="524"/>
      <c r="M8" s="291">
        <f>(G8-I8)*(1-Market!L8)</f>
        <v>0</v>
      </c>
      <c r="N8" s="73"/>
      <c r="O8" s="77" t="e">
        <f t="shared" si="1"/>
        <v>#DIV/0!</v>
      </c>
      <c r="P8" s="78" t="str">
        <f t="shared" si="2"/>
        <v xml:space="preserve"> - Market-Rate Townhouses</v>
      </c>
      <c r="Q8" s="76">
        <v>1.3</v>
      </c>
      <c r="R8" s="7"/>
    </row>
    <row r="9" spans="1:18" s="92" customFormat="1" ht="15" customHeight="1" x14ac:dyDescent="0.2">
      <c r="A9" s="538"/>
      <c r="B9" s="6" t="s">
        <v>22</v>
      </c>
      <c r="C9" s="208">
        <f>Costs!C9</f>
        <v>0</v>
      </c>
      <c r="D9" s="209"/>
      <c r="E9" s="210">
        <f>ROUND(Costs!D9*Value!$Q$9,-3)</f>
        <v>270000</v>
      </c>
      <c r="F9" s="202"/>
      <c r="G9" s="203">
        <f t="shared" si="0"/>
        <v>0</v>
      </c>
      <c r="H9" s="202"/>
      <c r="I9" s="202">
        <f>Costs!F9-Costs!J9</f>
        <v>0</v>
      </c>
      <c r="J9" s="202"/>
      <c r="K9" s="292">
        <f>((G9-I9)-M9)*(-1)</f>
        <v>0</v>
      </c>
      <c r="L9" s="525"/>
      <c r="M9" s="293">
        <f>(G9-I9)*(1-Market!L9)</f>
        <v>0</v>
      </c>
      <c r="N9" s="73"/>
      <c r="O9" s="77" t="e">
        <f t="shared" si="1"/>
        <v>#DIV/0!</v>
      </c>
      <c r="P9" s="78" t="str">
        <f t="shared" si="2"/>
        <v xml:space="preserve"> - Luxury High Rise Condos</v>
      </c>
      <c r="Q9" s="76">
        <v>1.407</v>
      </c>
      <c r="R9" s="7"/>
    </row>
    <row r="10" spans="1:18" s="92" customFormat="1" ht="15" customHeight="1" x14ac:dyDescent="0.2">
      <c r="A10" s="538"/>
      <c r="B10" s="6" t="s">
        <v>74</v>
      </c>
      <c r="C10" s="208">
        <f>Costs!C10</f>
        <v>0</v>
      </c>
      <c r="D10" s="209"/>
      <c r="E10" s="210">
        <v>1000</v>
      </c>
      <c r="F10" s="202"/>
      <c r="G10" s="203">
        <f t="shared" si="0"/>
        <v>0</v>
      </c>
      <c r="H10" s="202"/>
      <c r="I10" s="202">
        <f>Costs!F10-Costs!J10</f>
        <v>0</v>
      </c>
      <c r="J10" s="202"/>
      <c r="K10" s="294" t="s">
        <v>194</v>
      </c>
      <c r="L10" s="525"/>
      <c r="M10" s="293">
        <f>C10*E10</f>
        <v>0</v>
      </c>
      <c r="N10" s="73"/>
      <c r="O10" s="77" t="e">
        <f t="shared" si="1"/>
        <v>#DIV/0!</v>
      </c>
      <c r="P10" s="78" t="str">
        <f t="shared" si="2"/>
        <v xml:space="preserve"> - Phoenix Hotel/Homeless Shelter</v>
      </c>
      <c r="Q10" s="79" t="s">
        <v>194</v>
      </c>
      <c r="R10" s="7"/>
    </row>
    <row r="11" spans="1:18" s="92" customFormat="1" ht="15" customHeight="1" thickBot="1" x14ac:dyDescent="0.25">
      <c r="A11" s="538"/>
      <c r="B11" s="6" t="s">
        <v>75</v>
      </c>
      <c r="C11" s="208">
        <f>Costs!C11</f>
        <v>0</v>
      </c>
      <c r="D11" s="209"/>
      <c r="E11" s="210">
        <v>1000</v>
      </c>
      <c r="F11" s="202"/>
      <c r="G11" s="203">
        <f t="shared" si="0"/>
        <v>0</v>
      </c>
      <c r="H11" s="202"/>
      <c r="I11" s="202">
        <f>Costs!F11-Costs!J11</f>
        <v>0</v>
      </c>
      <c r="J11" s="202"/>
      <c r="K11" s="294" t="s">
        <v>194</v>
      </c>
      <c r="L11" s="525"/>
      <c r="M11" s="293">
        <f>C11*E11</f>
        <v>0</v>
      </c>
      <c r="N11" s="73"/>
      <c r="O11" s="77" t="e">
        <f t="shared" si="1"/>
        <v>#DIV/0!</v>
      </c>
      <c r="P11" s="78" t="str">
        <f t="shared" si="2"/>
        <v xml:space="preserve"> - New Homeless Shelter</v>
      </c>
      <c r="Q11" s="79" t="s">
        <v>194</v>
      </c>
      <c r="R11" s="7"/>
    </row>
    <row r="12" spans="1:18" s="92" customFormat="1" ht="15" customHeight="1" thickBot="1" x14ac:dyDescent="0.25">
      <c r="A12" s="538"/>
      <c r="B12" s="353" t="s">
        <v>26</v>
      </c>
      <c r="C12" s="594" t="s">
        <v>27</v>
      </c>
      <c r="D12" s="361"/>
      <c r="E12" s="355"/>
      <c r="F12" s="355"/>
      <c r="G12" s="357"/>
      <c r="H12" s="355"/>
      <c r="I12" s="355"/>
      <c r="J12" s="355"/>
      <c r="K12" s="362"/>
      <c r="L12" s="526"/>
      <c r="M12" s="363"/>
      <c r="N12" s="73"/>
      <c r="O12" s="77"/>
      <c r="P12" s="78" t="str">
        <f t="shared" si="2"/>
        <v>Office</v>
      </c>
      <c r="Q12" s="76"/>
      <c r="R12" s="7"/>
    </row>
    <row r="13" spans="1:18" s="92" customFormat="1" ht="15" customHeight="1" x14ac:dyDescent="0.2">
      <c r="A13" s="538"/>
      <c r="B13" s="6" t="s">
        <v>31</v>
      </c>
      <c r="C13" s="208">
        <f>Costs!C13</f>
        <v>0</v>
      </c>
      <c r="D13" s="209"/>
      <c r="E13" s="210">
        <f>Costs!D13*Value!$Q$13</f>
        <v>163.125</v>
      </c>
      <c r="F13" s="202"/>
      <c r="G13" s="203">
        <f>ROUND(C13*E13,-3)</f>
        <v>0</v>
      </c>
      <c r="H13" s="202"/>
      <c r="I13" s="202">
        <f>Costs!F13-Costs!J13</f>
        <v>0</v>
      </c>
      <c r="J13" s="202"/>
      <c r="K13" s="292">
        <f>((G13-I13)-M13)*(-1)</f>
        <v>0</v>
      </c>
      <c r="L13" s="525"/>
      <c r="M13" s="293">
        <f>(G13-I13)*(1-Market!L13)</f>
        <v>0</v>
      </c>
      <c r="N13" s="73"/>
      <c r="O13" s="77" t="e">
        <f t="shared" si="1"/>
        <v>#DIV/0!</v>
      </c>
      <c r="P13" s="78" t="str">
        <f t="shared" si="2"/>
        <v xml:space="preserve"> - Low-Rise Office Building</v>
      </c>
      <c r="Q13" s="76">
        <v>1.3049999999999999</v>
      </c>
      <c r="R13" s="7"/>
    </row>
    <row r="14" spans="1:18" s="92" customFormat="1" ht="15" customHeight="1" x14ac:dyDescent="0.2">
      <c r="A14" s="538"/>
      <c r="B14" s="6" t="s">
        <v>33</v>
      </c>
      <c r="C14" s="208">
        <f>Costs!C14</f>
        <v>0</v>
      </c>
      <c r="D14" s="209"/>
      <c r="E14" s="210">
        <f>Costs!D14*Value!Q14</f>
        <v>242.35000000000002</v>
      </c>
      <c r="F14" s="202"/>
      <c r="G14" s="203">
        <f>ROUND(C14*E14,-3)</f>
        <v>0</v>
      </c>
      <c r="H14" s="202"/>
      <c r="I14" s="202">
        <f>Costs!F14-Costs!J14</f>
        <v>0</v>
      </c>
      <c r="J14" s="202"/>
      <c r="K14" s="292">
        <f>((G14-I14)-M14)*(-1)</f>
        <v>0</v>
      </c>
      <c r="L14" s="525"/>
      <c r="M14" s="293">
        <f>(G14-I14)*(1-Market!L14)</f>
        <v>0</v>
      </c>
      <c r="N14" s="73"/>
      <c r="O14" s="77" t="e">
        <f t="shared" si="1"/>
        <v>#DIV/0!</v>
      </c>
      <c r="P14" s="78" t="str">
        <f t="shared" si="2"/>
        <v xml:space="preserve"> - Mid-Rise Office Building</v>
      </c>
      <c r="Q14" s="76">
        <v>1.31</v>
      </c>
    </row>
    <row r="15" spans="1:18" s="92" customFormat="1" ht="15" customHeight="1" x14ac:dyDescent="0.2">
      <c r="A15" s="538"/>
      <c r="B15" s="6" t="s">
        <v>76</v>
      </c>
      <c r="C15" s="208">
        <f>Costs!C15</f>
        <v>0</v>
      </c>
      <c r="D15" s="209"/>
      <c r="E15" s="210">
        <f>Costs!D15*Value!$Q$15</f>
        <v>120</v>
      </c>
      <c r="F15" s="202"/>
      <c r="G15" s="203">
        <f>ROUND(C15*E15,-3)</f>
        <v>0</v>
      </c>
      <c r="H15" s="202"/>
      <c r="I15" s="202">
        <f>Costs!F15</f>
        <v>0</v>
      </c>
      <c r="J15" s="202"/>
      <c r="K15" s="292" t="s">
        <v>104</v>
      </c>
      <c r="L15" s="525"/>
      <c r="M15" s="293">
        <f>G15-I15</f>
        <v>0</v>
      </c>
      <c r="N15" s="73"/>
      <c r="O15" s="77" t="e">
        <f t="shared" si="1"/>
        <v>#DIV/0!</v>
      </c>
      <c r="P15" s="78" t="str">
        <f t="shared" si="2"/>
        <v xml:space="preserve"> - Phoenix Hotel/Office</v>
      </c>
      <c r="Q15" s="76">
        <v>1.2</v>
      </c>
    </row>
    <row r="16" spans="1:18" s="92" customFormat="1" ht="15" customHeight="1" x14ac:dyDescent="0.2">
      <c r="A16" s="538"/>
      <c r="B16" s="6" t="s">
        <v>77</v>
      </c>
      <c r="C16" s="208">
        <f>Costs!C16</f>
        <v>46500</v>
      </c>
      <c r="D16" s="209"/>
      <c r="E16" s="210">
        <f>Costs!D16*Value!$Q$16</f>
        <v>118</v>
      </c>
      <c r="F16" s="202"/>
      <c r="G16" s="203">
        <f>ROUND(C16*E16,-3)</f>
        <v>5487000</v>
      </c>
      <c r="H16" s="202"/>
      <c r="I16" s="202">
        <f>Costs!F16-Costs!J16</f>
        <v>4650000</v>
      </c>
      <c r="J16" s="202"/>
      <c r="K16" s="292" t="s">
        <v>104</v>
      </c>
      <c r="L16" s="525"/>
      <c r="M16" s="293">
        <f>G16-I16</f>
        <v>837000</v>
      </c>
      <c r="N16" s="73"/>
      <c r="O16" s="77">
        <f t="shared" si="1"/>
        <v>18</v>
      </c>
      <c r="P16" s="78" t="str">
        <f t="shared" si="2"/>
        <v xml:space="preserve"> - York Dry Goods/Office</v>
      </c>
      <c r="Q16" s="76">
        <v>1.18</v>
      </c>
    </row>
    <row r="17" spans="1:18" s="92" customFormat="1" ht="15" customHeight="1" thickBot="1" x14ac:dyDescent="0.25">
      <c r="A17" s="538"/>
      <c r="B17" s="6" t="s">
        <v>78</v>
      </c>
      <c r="C17" s="208">
        <f>Costs!C17</f>
        <v>60000</v>
      </c>
      <c r="D17" s="209"/>
      <c r="E17" s="210">
        <f>Costs!D17*Value!$Q$17</f>
        <v>118</v>
      </c>
      <c r="F17" s="202"/>
      <c r="G17" s="203">
        <f>ROUND(C17*E17,-3)</f>
        <v>7080000</v>
      </c>
      <c r="H17" s="202"/>
      <c r="I17" s="202">
        <f>Costs!F17-Costs!J17</f>
        <v>6000000</v>
      </c>
      <c r="J17" s="202"/>
      <c r="K17" s="292" t="s">
        <v>104</v>
      </c>
      <c r="L17" s="525"/>
      <c r="M17" s="293">
        <f>G17-I17</f>
        <v>1080000</v>
      </c>
      <c r="N17" s="73"/>
      <c r="O17" s="77">
        <f t="shared" si="1"/>
        <v>18</v>
      </c>
      <c r="P17" s="78" t="str">
        <f t="shared" si="2"/>
        <v xml:space="preserve"> - Victorian Row/Office</v>
      </c>
      <c r="Q17" s="76">
        <v>1.18</v>
      </c>
    </row>
    <row r="18" spans="1:18" s="92" customFormat="1" ht="15" customHeight="1" thickBot="1" x14ac:dyDescent="0.25">
      <c r="A18" s="538"/>
      <c r="B18" s="353" t="s">
        <v>35</v>
      </c>
      <c r="C18" s="594" t="str">
        <f>Costs!C18</f>
        <v>Building SF</v>
      </c>
      <c r="D18" s="361"/>
      <c r="E18" s="355"/>
      <c r="F18" s="355"/>
      <c r="G18" s="357"/>
      <c r="H18" s="355"/>
      <c r="I18" s="355"/>
      <c r="J18" s="355"/>
      <c r="K18" s="362"/>
      <c r="L18" s="526"/>
      <c r="M18" s="363"/>
      <c r="N18" s="73"/>
      <c r="O18" s="77"/>
      <c r="P18" s="78" t="str">
        <f t="shared" si="2"/>
        <v>Retail</v>
      </c>
      <c r="Q18" s="76"/>
    </row>
    <row r="19" spans="1:18" s="92" customFormat="1" ht="15" customHeight="1" x14ac:dyDescent="0.2">
      <c r="A19" s="538"/>
      <c r="B19" s="6" t="s">
        <v>37</v>
      </c>
      <c r="C19" s="208">
        <f>Costs!C19</f>
        <v>0</v>
      </c>
      <c r="D19" s="209"/>
      <c r="E19" s="210">
        <f>Costs!D19*Value!$Q$19</f>
        <v>130</v>
      </c>
      <c r="F19" s="202"/>
      <c r="G19" s="203">
        <f t="shared" ref="G19:G24" si="3">ROUND(C19*E19,-3)</f>
        <v>0</v>
      </c>
      <c r="H19" s="202"/>
      <c r="I19" s="202">
        <f>Costs!F19-Costs!J19</f>
        <v>0</v>
      </c>
      <c r="J19" s="202"/>
      <c r="K19" s="292">
        <f>((G19-I19)-M19)*(-1)</f>
        <v>0</v>
      </c>
      <c r="L19" s="525"/>
      <c r="M19" s="293">
        <f>(G19-I19)*(1-Market!L19)</f>
        <v>0</v>
      </c>
      <c r="N19" s="73"/>
      <c r="O19" s="77" t="e">
        <f t="shared" si="1"/>
        <v>#DIV/0!</v>
      </c>
      <c r="P19" s="78" t="str">
        <f t="shared" si="2"/>
        <v xml:space="preserve"> - Neighborhood Retail</v>
      </c>
      <c r="Q19" s="76">
        <v>1.3</v>
      </c>
      <c r="R19" s="7"/>
    </row>
    <row r="20" spans="1:18" s="92" customFormat="1" ht="15" customHeight="1" x14ac:dyDescent="0.2">
      <c r="A20" s="538"/>
      <c r="B20" s="6" t="s">
        <v>39</v>
      </c>
      <c r="C20" s="208">
        <f>Costs!C20</f>
        <v>40000</v>
      </c>
      <c r="D20" s="209"/>
      <c r="E20" s="210">
        <f>Costs!D20*Value!$Q$20</f>
        <v>149.5</v>
      </c>
      <c r="F20" s="202"/>
      <c r="G20" s="203">
        <f t="shared" si="3"/>
        <v>5980000</v>
      </c>
      <c r="H20" s="202"/>
      <c r="I20" s="202">
        <f>Costs!F20-Costs!J20</f>
        <v>4600000</v>
      </c>
      <c r="J20" s="202"/>
      <c r="K20" s="292">
        <f>((G20-I20)-M20)*(-1)</f>
        <v>0</v>
      </c>
      <c r="L20" s="525"/>
      <c r="M20" s="293">
        <f>(G20-I20)*(1-Market!L20)</f>
        <v>1380000</v>
      </c>
      <c r="N20" s="73"/>
      <c r="O20" s="77">
        <f t="shared" si="1"/>
        <v>34.5</v>
      </c>
      <c r="P20" s="78" t="str">
        <f t="shared" si="2"/>
        <v xml:space="preserve"> - Grocery/Drug</v>
      </c>
      <c r="Q20" s="76">
        <v>1.3</v>
      </c>
      <c r="R20" s="7"/>
    </row>
    <row r="21" spans="1:18" s="92" customFormat="1" ht="15" customHeight="1" x14ac:dyDescent="0.2">
      <c r="A21" s="538"/>
      <c r="B21" s="6" t="s">
        <v>40</v>
      </c>
      <c r="C21" s="208">
        <f>Costs!C21</f>
        <v>0</v>
      </c>
      <c r="D21" s="209"/>
      <c r="E21" s="210">
        <f>Costs!D21*Value!$Q$21</f>
        <v>162.5</v>
      </c>
      <c r="F21" s="202"/>
      <c r="G21" s="203">
        <f t="shared" si="3"/>
        <v>0</v>
      </c>
      <c r="H21" s="202"/>
      <c r="I21" s="202">
        <f>Costs!F21-Costs!J21</f>
        <v>0</v>
      </c>
      <c r="J21" s="202"/>
      <c r="K21" s="292">
        <f>((G21-I21)-M21)*(-1)</f>
        <v>0</v>
      </c>
      <c r="L21" s="525"/>
      <c r="M21" s="293">
        <f>(G21-I21)*(1-Market!L21)</f>
        <v>0</v>
      </c>
      <c r="N21" s="73"/>
      <c r="O21" s="77" t="e">
        <f t="shared" si="1"/>
        <v>#DIV/0!</v>
      </c>
      <c r="P21" s="78" t="str">
        <f t="shared" si="2"/>
        <v xml:space="preserve"> - QMart</v>
      </c>
      <c r="Q21" s="76">
        <v>1.3</v>
      </c>
      <c r="R21" s="7"/>
    </row>
    <row r="22" spans="1:18" s="92" customFormat="1" ht="15" customHeight="1" x14ac:dyDescent="0.2">
      <c r="A22" s="538"/>
      <c r="B22" s="6" t="s">
        <v>152</v>
      </c>
      <c r="C22" s="208">
        <f>Costs!C22</f>
        <v>0</v>
      </c>
      <c r="D22" s="209"/>
      <c r="E22" s="210">
        <f>Costs!D22*Value!$Q$22</f>
        <v>130</v>
      </c>
      <c r="F22" s="202"/>
      <c r="G22" s="203">
        <f t="shared" si="3"/>
        <v>0</v>
      </c>
      <c r="H22" s="202"/>
      <c r="I22" s="202">
        <f>Costs!F22-Costs!J22</f>
        <v>0</v>
      </c>
      <c r="J22" s="202"/>
      <c r="K22" s="292">
        <f>((G22-I22)-M22)*(-1)</f>
        <v>0</v>
      </c>
      <c r="L22" s="525"/>
      <c r="M22" s="293">
        <f>(G22-I22)*(1-Market!L22)</f>
        <v>0</v>
      </c>
      <c r="N22" s="73"/>
      <c r="O22" s="77"/>
      <c r="P22" s="78" t="str">
        <f t="shared" si="2"/>
        <v xml:space="preserve"> - Phoenix Hotel/Retail </v>
      </c>
      <c r="Q22" s="76">
        <v>1.3</v>
      </c>
      <c r="R22" s="7"/>
    </row>
    <row r="23" spans="1:18" s="92" customFormat="1" ht="15" customHeight="1" x14ac:dyDescent="0.2">
      <c r="A23" s="538"/>
      <c r="B23" s="6" t="s">
        <v>79</v>
      </c>
      <c r="C23" s="208">
        <f>Costs!C23</f>
        <v>0</v>
      </c>
      <c r="D23" s="209"/>
      <c r="E23" s="210">
        <f>Costs!D23*Value!$Q$23</f>
        <v>125</v>
      </c>
      <c r="F23" s="202"/>
      <c r="G23" s="203">
        <f t="shared" si="3"/>
        <v>0</v>
      </c>
      <c r="H23" s="202"/>
      <c r="I23" s="202">
        <f>Costs!F23-Costs!J23</f>
        <v>0</v>
      </c>
      <c r="J23" s="202"/>
      <c r="K23" s="292" t="s">
        <v>105</v>
      </c>
      <c r="L23" s="525"/>
      <c r="M23" s="293">
        <f>G23-I23</f>
        <v>0</v>
      </c>
      <c r="N23" s="73"/>
      <c r="O23" s="77" t="e">
        <f t="shared" ref="O23:O32" si="4">M23/C23</f>
        <v>#DIV/0!</v>
      </c>
      <c r="P23" s="78" t="str">
        <f t="shared" si="2"/>
        <v xml:space="preserve"> - York Dry Goods/Retail</v>
      </c>
      <c r="Q23" s="76">
        <v>1.25</v>
      </c>
      <c r="R23" s="7"/>
    </row>
    <row r="24" spans="1:18" s="92" customFormat="1" ht="15" customHeight="1" thickBot="1" x14ac:dyDescent="0.25">
      <c r="A24" s="538"/>
      <c r="B24" s="6" t="s">
        <v>80</v>
      </c>
      <c r="C24" s="208">
        <f>Costs!C24</f>
        <v>0</v>
      </c>
      <c r="D24" s="209"/>
      <c r="E24" s="210">
        <f>Costs!D24*Value!$Q$24</f>
        <v>125</v>
      </c>
      <c r="F24" s="202"/>
      <c r="G24" s="203">
        <f t="shared" si="3"/>
        <v>0</v>
      </c>
      <c r="H24" s="202"/>
      <c r="I24" s="202">
        <f>Costs!F24-Costs!J24</f>
        <v>0</v>
      </c>
      <c r="J24" s="202"/>
      <c r="K24" s="292" t="s">
        <v>105</v>
      </c>
      <c r="L24" s="525"/>
      <c r="M24" s="293">
        <f>G24-I24</f>
        <v>0</v>
      </c>
      <c r="N24" s="73"/>
      <c r="O24" s="77" t="e">
        <f t="shared" si="4"/>
        <v>#DIV/0!</v>
      </c>
      <c r="P24" s="78" t="str">
        <f t="shared" si="2"/>
        <v xml:space="preserve"> - Victorian Row/Retail</v>
      </c>
      <c r="Q24" s="76">
        <v>1.25</v>
      </c>
      <c r="R24" s="7"/>
    </row>
    <row r="25" spans="1:18" s="92" customFormat="1" ht="13.5" thickBot="1" x14ac:dyDescent="0.25">
      <c r="A25" s="538"/>
      <c r="B25" s="353" t="s">
        <v>81</v>
      </c>
      <c r="C25" s="594" t="str">
        <f>Costs!C25</f>
        <v>Building SF</v>
      </c>
      <c r="D25" s="361"/>
      <c r="E25" s="355"/>
      <c r="F25" s="355"/>
      <c r="G25" s="357"/>
      <c r="H25" s="355"/>
      <c r="I25" s="355"/>
      <c r="J25" s="355"/>
      <c r="K25" s="362"/>
      <c r="L25" s="526"/>
      <c r="M25" s="363"/>
      <c r="N25" s="73"/>
      <c r="O25" s="77"/>
      <c r="P25" s="78" t="str">
        <f t="shared" si="2"/>
        <v>Community Facilities</v>
      </c>
      <c r="Q25" s="76"/>
      <c r="R25" s="7"/>
    </row>
    <row r="26" spans="1:18" s="92" customFormat="1" x14ac:dyDescent="0.2">
      <c r="A26" s="538"/>
      <c r="B26" s="6" t="s">
        <v>149</v>
      </c>
      <c r="C26" s="208">
        <f>Costs!C26</f>
        <v>1500</v>
      </c>
      <c r="D26" s="209"/>
      <c r="E26" s="210">
        <f>Costs!D26*Value!$Q$26</f>
        <v>70</v>
      </c>
      <c r="F26" s="202"/>
      <c r="G26" s="203">
        <f>ROUND(C26*E26,-3)</f>
        <v>105000</v>
      </c>
      <c r="H26" s="202"/>
      <c r="I26" s="202">
        <f>Costs!F26-Costs!J26</f>
        <v>127000</v>
      </c>
      <c r="J26" s="202"/>
      <c r="K26" s="292"/>
      <c r="L26" s="525"/>
      <c r="M26" s="293">
        <f>G26-I26</f>
        <v>-22000</v>
      </c>
      <c r="N26" s="73"/>
      <c r="O26" s="77">
        <f t="shared" si="4"/>
        <v>-14.666666666666666</v>
      </c>
      <c r="P26" s="78" t="str">
        <f t="shared" si="2"/>
        <v xml:space="preserve"> - York Dry Goods/Community Facilities</v>
      </c>
      <c r="Q26" s="76">
        <v>0.7</v>
      </c>
      <c r="R26" s="7"/>
    </row>
    <row r="27" spans="1:18" s="92" customFormat="1" x14ac:dyDescent="0.2">
      <c r="A27" s="538"/>
      <c r="B27" s="6" t="s">
        <v>179</v>
      </c>
      <c r="C27" s="208">
        <f>'Use Allocation'!E28+'Use Allocation'!E29</f>
        <v>0</v>
      </c>
      <c r="D27" s="209"/>
      <c r="E27" s="210">
        <f>Costs!D27*Value!$Q$27</f>
        <v>0</v>
      </c>
      <c r="F27" s="202"/>
      <c r="G27" s="203">
        <f>ROUND(C27*E27,-3)</f>
        <v>0</v>
      </c>
      <c r="H27" s="202"/>
      <c r="I27" s="202">
        <f>Costs!F27-Costs!J27</f>
        <v>0</v>
      </c>
      <c r="J27" s="202"/>
      <c r="K27" s="292"/>
      <c r="L27" s="525"/>
      <c r="M27" s="293">
        <f>G27-I27</f>
        <v>0</v>
      </c>
      <c r="N27" s="73"/>
      <c r="O27" s="77"/>
      <c r="P27" s="78" t="str">
        <f t="shared" si="2"/>
        <v xml:space="preserve"> - York Dry Goods/Univ. &amp; Artist Studio </v>
      </c>
      <c r="Q27" s="76">
        <v>0</v>
      </c>
      <c r="R27" s="7"/>
    </row>
    <row r="28" spans="1:18" s="92" customFormat="1" ht="13.5" thickBot="1" x14ac:dyDescent="0.25">
      <c r="A28" s="538"/>
      <c r="B28" s="6" t="s">
        <v>180</v>
      </c>
      <c r="C28" s="208">
        <f>Costs!C28</f>
        <v>0</v>
      </c>
      <c r="D28" s="209"/>
      <c r="E28" s="210">
        <f>Costs!D28*Value!$Q$28</f>
        <v>0</v>
      </c>
      <c r="F28" s="202"/>
      <c r="G28" s="203">
        <f>ROUND(C28*E28,-3)</f>
        <v>0</v>
      </c>
      <c r="H28" s="202"/>
      <c r="I28" s="202">
        <f>Costs!F28-Costs!J28</f>
        <v>0</v>
      </c>
      <c r="J28" s="202"/>
      <c r="K28" s="292"/>
      <c r="L28" s="525"/>
      <c r="M28" s="293">
        <f>G28-I28</f>
        <v>0</v>
      </c>
      <c r="N28" s="73"/>
      <c r="O28" s="77" t="e">
        <f t="shared" si="4"/>
        <v>#DIV/0!</v>
      </c>
      <c r="P28" s="78" t="str">
        <f t="shared" si="2"/>
        <v xml:space="preserve"> - Victorian Row/Univ. &amp; Artist Studios</v>
      </c>
      <c r="Q28" s="76">
        <v>0</v>
      </c>
      <c r="R28" s="7"/>
    </row>
    <row r="29" spans="1:18" s="92" customFormat="1" ht="13.5" thickBot="1" x14ac:dyDescent="0.25">
      <c r="A29" s="538"/>
      <c r="B29" s="353" t="s">
        <v>46</v>
      </c>
      <c r="C29" s="594" t="str">
        <f>Costs!C29</f>
        <v>Total SF</v>
      </c>
      <c r="D29" s="361"/>
      <c r="E29" s="355"/>
      <c r="F29" s="355"/>
      <c r="G29" s="357"/>
      <c r="H29" s="355"/>
      <c r="I29" s="355"/>
      <c r="J29" s="355"/>
      <c r="K29" s="362"/>
      <c r="L29" s="526"/>
      <c r="M29" s="363"/>
      <c r="N29" s="73"/>
      <c r="O29" s="77"/>
      <c r="P29" s="78" t="str">
        <f t="shared" si="2"/>
        <v>Amenities</v>
      </c>
      <c r="Q29" s="76"/>
      <c r="R29" s="7"/>
    </row>
    <row r="30" spans="1:18" s="92" customFormat="1" x14ac:dyDescent="0.2">
      <c r="A30" s="538"/>
      <c r="B30" s="6" t="s">
        <v>47</v>
      </c>
      <c r="C30" s="208">
        <f>Costs!C30</f>
        <v>25000</v>
      </c>
      <c r="D30" s="209"/>
      <c r="E30" s="210"/>
      <c r="F30" s="202"/>
      <c r="G30" s="203">
        <f>ROUND(C30*E30,-3)</f>
        <v>0</v>
      </c>
      <c r="H30" s="202"/>
      <c r="I30" s="202">
        <f>Costs!F30-Costs!J30</f>
        <v>462000</v>
      </c>
      <c r="J30" s="202"/>
      <c r="K30" s="292"/>
      <c r="L30" s="525"/>
      <c r="M30" s="293">
        <f>G30-I30</f>
        <v>-462000</v>
      </c>
      <c r="N30" s="73"/>
      <c r="O30" s="77">
        <f t="shared" si="4"/>
        <v>-18.48</v>
      </c>
      <c r="P30" s="78" t="str">
        <f t="shared" si="2"/>
        <v xml:space="preserve"> - Park/Plaza</v>
      </c>
      <c r="Q30" s="76"/>
      <c r="R30" s="7"/>
    </row>
    <row r="31" spans="1:18" s="92" customFormat="1" x14ac:dyDescent="0.2">
      <c r="A31" s="538"/>
      <c r="B31" s="6" t="s">
        <v>48</v>
      </c>
      <c r="C31" s="208">
        <f>Costs!C31</f>
        <v>10000</v>
      </c>
      <c r="D31" s="209"/>
      <c r="E31" s="210"/>
      <c r="F31" s="202"/>
      <c r="G31" s="203">
        <f>ROUND(C31*E31,-3)</f>
        <v>0</v>
      </c>
      <c r="H31" s="202"/>
      <c r="I31" s="202">
        <f>Costs!F31-Costs!J31</f>
        <v>195000</v>
      </c>
      <c r="J31" s="202"/>
      <c r="K31" s="292"/>
      <c r="L31" s="525"/>
      <c r="M31" s="293">
        <f>G31-I31</f>
        <v>-195000</v>
      </c>
      <c r="N31" s="73"/>
      <c r="O31" s="77">
        <f t="shared" si="4"/>
        <v>-19.5</v>
      </c>
      <c r="P31" s="78" t="str">
        <f t="shared" si="2"/>
        <v xml:space="preserve"> - Sports Fields &amp; Courts</v>
      </c>
      <c r="Q31" s="76"/>
      <c r="R31" s="7"/>
    </row>
    <row r="32" spans="1:18" s="92" customFormat="1" ht="13.5" thickBot="1" x14ac:dyDescent="0.25">
      <c r="A32" s="538"/>
      <c r="B32" s="6" t="s">
        <v>49</v>
      </c>
      <c r="C32" s="208">
        <f>Costs!C32</f>
        <v>10000</v>
      </c>
      <c r="D32" s="209"/>
      <c r="E32" s="210"/>
      <c r="F32" s="202"/>
      <c r="G32" s="203">
        <f>ROUND(C32*E32,-3)</f>
        <v>0</v>
      </c>
      <c r="H32" s="202"/>
      <c r="I32" s="202">
        <f>Costs!F32-Costs!J32</f>
        <v>300000</v>
      </c>
      <c r="J32" s="202"/>
      <c r="K32" s="292"/>
      <c r="L32" s="525"/>
      <c r="M32" s="293">
        <f>G32-I32</f>
        <v>-300000</v>
      </c>
      <c r="N32" s="73"/>
      <c r="O32" s="77">
        <f t="shared" si="4"/>
        <v>-30</v>
      </c>
      <c r="P32" s="78" t="str">
        <f t="shared" si="2"/>
        <v xml:space="preserve"> - Skate Park</v>
      </c>
      <c r="Q32" s="76"/>
      <c r="R32" s="7"/>
    </row>
    <row r="33" spans="1:18" s="92" customFormat="1" ht="13.5" thickBot="1" x14ac:dyDescent="0.25">
      <c r="A33" s="538"/>
      <c r="B33" s="353" t="s">
        <v>239</v>
      </c>
      <c r="C33" s="595">
        <f>Costs!C33</f>
        <v>0</v>
      </c>
      <c r="D33" s="361"/>
      <c r="E33" s="355"/>
      <c r="F33" s="355"/>
      <c r="G33" s="357"/>
      <c r="H33" s="355"/>
      <c r="I33" s="355"/>
      <c r="J33" s="355"/>
      <c r="K33" s="362"/>
      <c r="L33" s="526"/>
      <c r="M33" s="363"/>
      <c r="N33" s="73"/>
      <c r="O33" s="80"/>
      <c r="P33" s="78"/>
      <c r="Q33" s="76"/>
      <c r="R33" s="7"/>
    </row>
    <row r="34" spans="1:18" s="92" customFormat="1" ht="13.5" thickBot="1" x14ac:dyDescent="0.25">
      <c r="A34" s="538"/>
      <c r="B34" s="6" t="str">
        <f>Costs!$B$34</f>
        <v xml:space="preserve"> - Homeless Shelter Fund Fee</v>
      </c>
      <c r="C34" s="208"/>
      <c r="D34" s="209"/>
      <c r="E34" s="210">
        <v>0</v>
      </c>
      <c r="F34" s="296"/>
      <c r="G34" s="275">
        <f>C34*E34</f>
        <v>0</v>
      </c>
      <c r="H34" s="210"/>
      <c r="I34" s="210">
        <f>Costs!F34</f>
        <v>750000</v>
      </c>
      <c r="J34" s="296"/>
      <c r="K34" s="297"/>
      <c r="L34" s="527"/>
      <c r="M34" s="298">
        <f>G34-I34</f>
        <v>-750000</v>
      </c>
      <c r="N34" s="73"/>
      <c r="O34" s="80"/>
      <c r="P34" s="78"/>
      <c r="Q34" s="76"/>
      <c r="R34" s="7"/>
    </row>
    <row r="35" spans="1:18" s="92" customFormat="1" ht="13.5" thickBot="1" x14ac:dyDescent="0.25">
      <c r="A35" s="538"/>
      <c r="B35" s="353" t="s">
        <v>50</v>
      </c>
      <c r="C35" s="594" t="str">
        <f>Costs!C35</f>
        <v>Total Spaces</v>
      </c>
      <c r="D35" s="361"/>
      <c r="E35" s="355"/>
      <c r="F35" s="355"/>
      <c r="G35" s="357"/>
      <c r="H35" s="355"/>
      <c r="I35" s="355"/>
      <c r="J35" s="355"/>
      <c r="K35" s="362"/>
      <c r="L35" s="526"/>
      <c r="M35" s="363"/>
      <c r="N35" s="73"/>
      <c r="O35" s="80"/>
      <c r="P35" s="78"/>
      <c r="Q35" s="76"/>
      <c r="R35" s="7"/>
    </row>
    <row r="36" spans="1:18" s="92" customFormat="1" x14ac:dyDescent="0.2">
      <c r="A36" s="538"/>
      <c r="B36" s="6" t="s">
        <v>231</v>
      </c>
      <c r="C36" s="208">
        <f>Costs!C36</f>
        <v>0</v>
      </c>
      <c r="D36" s="209"/>
      <c r="E36" s="210"/>
      <c r="F36" s="202"/>
      <c r="G36" s="203">
        <f t="shared" ref="G36:G37" si="5">ROUND(C36*E36,-3)</f>
        <v>0</v>
      </c>
      <c r="H36" s="202"/>
      <c r="I36" s="202">
        <f>Costs!F36</f>
        <v>0</v>
      </c>
      <c r="J36" s="202"/>
      <c r="K36" s="292"/>
      <c r="L36" s="525"/>
      <c r="M36" s="293">
        <f t="shared" ref="M36:M37" si="6">G36-I36</f>
        <v>0</v>
      </c>
      <c r="N36" s="73"/>
      <c r="O36" s="80"/>
      <c r="P36" s="78"/>
      <c r="Q36" s="76"/>
      <c r="R36" s="7"/>
    </row>
    <row r="37" spans="1:18" s="92" customFormat="1" x14ac:dyDescent="0.2">
      <c r="A37" s="538"/>
      <c r="B37" s="6" t="s">
        <v>235</v>
      </c>
      <c r="C37" s="208">
        <f>Costs!C37</f>
        <v>0</v>
      </c>
      <c r="D37" s="209"/>
      <c r="E37" s="210"/>
      <c r="F37" s="202"/>
      <c r="G37" s="203">
        <f t="shared" si="5"/>
        <v>0</v>
      </c>
      <c r="H37" s="202"/>
      <c r="I37" s="202">
        <f>Costs!F37</f>
        <v>0</v>
      </c>
      <c r="J37" s="202"/>
      <c r="K37" s="292"/>
      <c r="L37" s="525"/>
      <c r="M37" s="293">
        <f t="shared" si="6"/>
        <v>0</v>
      </c>
      <c r="N37" s="73"/>
      <c r="O37" s="80"/>
      <c r="P37" s="78"/>
      <c r="Q37" s="76"/>
      <c r="R37" s="7"/>
    </row>
    <row r="38" spans="1:18" s="92" customFormat="1" x14ac:dyDescent="0.2">
      <c r="A38" s="538"/>
      <c r="B38" s="6" t="s">
        <v>229</v>
      </c>
      <c r="C38" s="208">
        <f>Costs!C38</f>
        <v>0</v>
      </c>
      <c r="D38" s="209"/>
      <c r="E38" s="210"/>
      <c r="F38" s="202"/>
      <c r="G38" s="203">
        <f t="shared" ref="G38:G41" si="7">ROUND(C38*E38,-3)</f>
        <v>0</v>
      </c>
      <c r="H38" s="202"/>
      <c r="I38" s="202">
        <f>Costs!F38</f>
        <v>0</v>
      </c>
      <c r="J38" s="202"/>
      <c r="K38" s="292"/>
      <c r="L38" s="525"/>
      <c r="M38" s="293">
        <f>G38-I38</f>
        <v>0</v>
      </c>
      <c r="N38" s="73"/>
      <c r="O38" s="80"/>
      <c r="P38" s="78"/>
      <c r="Q38" s="76"/>
      <c r="R38" s="7"/>
    </row>
    <row r="39" spans="1:18" s="92" customFormat="1" x14ac:dyDescent="0.2">
      <c r="A39" s="538"/>
      <c r="B39" s="6" t="s">
        <v>230</v>
      </c>
      <c r="C39" s="208">
        <f>Costs!C39</f>
        <v>0</v>
      </c>
      <c r="D39" s="209"/>
      <c r="E39" s="210"/>
      <c r="F39" s="202"/>
      <c r="G39" s="203">
        <f t="shared" si="7"/>
        <v>0</v>
      </c>
      <c r="H39" s="202"/>
      <c r="I39" s="202">
        <f>Costs!F39</f>
        <v>0</v>
      </c>
      <c r="J39" s="202"/>
      <c r="K39" s="292"/>
      <c r="L39" s="525"/>
      <c r="M39" s="293">
        <f>G39-I39</f>
        <v>0</v>
      </c>
      <c r="N39" s="73"/>
      <c r="O39" s="80"/>
      <c r="P39" s="78"/>
      <c r="Q39" s="76"/>
      <c r="R39" s="7"/>
    </row>
    <row r="40" spans="1:18" s="92" customFormat="1" x14ac:dyDescent="0.2">
      <c r="A40" s="538"/>
      <c r="B40" s="6" t="s">
        <v>247</v>
      </c>
      <c r="C40" s="208">
        <f>Costs!C40</f>
        <v>160</v>
      </c>
      <c r="D40" s="209"/>
      <c r="E40" s="210"/>
      <c r="F40" s="202"/>
      <c r="G40" s="203">
        <f t="shared" si="7"/>
        <v>0</v>
      </c>
      <c r="H40" s="202"/>
      <c r="I40" s="202">
        <f>Costs!F40</f>
        <v>0</v>
      </c>
      <c r="J40" s="202"/>
      <c r="K40" s="292"/>
      <c r="L40" s="525"/>
      <c r="M40" s="293">
        <f>G40-I40</f>
        <v>0</v>
      </c>
      <c r="N40" s="73"/>
      <c r="O40" s="80"/>
      <c r="P40" s="78"/>
      <c r="Q40" s="76"/>
      <c r="R40" s="7"/>
    </row>
    <row r="41" spans="1:18" s="92" customFormat="1" ht="13.5" thickBot="1" x14ac:dyDescent="0.25">
      <c r="A41" s="538"/>
      <c r="B41" s="6" t="s">
        <v>54</v>
      </c>
      <c r="C41" s="208">
        <f>Costs!C41</f>
        <v>0</v>
      </c>
      <c r="D41" s="209"/>
      <c r="E41" s="210"/>
      <c r="F41" s="202"/>
      <c r="G41" s="203">
        <f t="shared" si="7"/>
        <v>0</v>
      </c>
      <c r="H41" s="202"/>
      <c r="I41" s="202">
        <f>Costs!F41</f>
        <v>0</v>
      </c>
      <c r="J41" s="202"/>
      <c r="K41" s="292"/>
      <c r="L41" s="525"/>
      <c r="M41" s="293">
        <f>G41-I41</f>
        <v>0</v>
      </c>
      <c r="N41" s="73"/>
      <c r="O41" s="80"/>
      <c r="P41" s="78"/>
      <c r="Q41" s="76"/>
      <c r="R41" s="7"/>
    </row>
    <row r="42" spans="1:18" s="92" customFormat="1" ht="13.5" thickBot="1" x14ac:dyDescent="0.25">
      <c r="A42" s="538"/>
      <c r="B42" s="352" t="s">
        <v>106</v>
      </c>
      <c r="C42" s="207"/>
      <c r="D42" s="295"/>
      <c r="E42" s="289"/>
      <c r="F42" s="214"/>
      <c r="G42" s="223"/>
      <c r="H42" s="214"/>
      <c r="I42" s="214">
        <v>7500000</v>
      </c>
      <c r="J42" s="214"/>
      <c r="K42" s="299"/>
      <c r="L42" s="528"/>
      <c r="M42" s="529">
        <f>G42-I42</f>
        <v>-7500000</v>
      </c>
      <c r="N42" s="35"/>
      <c r="O42" s="80"/>
      <c r="P42" s="78"/>
      <c r="Q42" s="76"/>
      <c r="R42" s="7"/>
    </row>
    <row r="43" spans="1:18" s="92" customFormat="1" x14ac:dyDescent="0.2">
      <c r="A43" s="538"/>
      <c r="B43" s="4"/>
      <c r="C43" s="208"/>
      <c r="D43" s="209"/>
      <c r="E43" s="210"/>
      <c r="F43" s="296"/>
      <c r="G43" s="300"/>
      <c r="H43" s="296"/>
      <c r="I43" s="296"/>
      <c r="J43" s="296"/>
      <c r="K43" s="297"/>
      <c r="L43" s="527"/>
      <c r="M43" s="298"/>
      <c r="N43" s="35"/>
      <c r="O43" s="80"/>
      <c r="P43" s="78"/>
      <c r="Q43" s="76"/>
      <c r="R43" s="7"/>
    </row>
    <row r="44" spans="1:18" s="92" customFormat="1" x14ac:dyDescent="0.2">
      <c r="A44" s="538"/>
      <c r="B44" s="4"/>
      <c r="C44" s="208"/>
      <c r="D44" s="209"/>
      <c r="E44" s="210"/>
      <c r="F44" s="296"/>
      <c r="G44" s="300"/>
      <c r="H44" s="296"/>
      <c r="I44" s="296"/>
      <c r="J44" s="296"/>
      <c r="K44" s="297"/>
      <c r="L44" s="527"/>
      <c r="M44" s="293">
        <f>G44-I44</f>
        <v>0</v>
      </c>
      <c r="N44" s="35"/>
      <c r="O44" s="80"/>
      <c r="P44" s="78"/>
      <c r="Q44" s="76"/>
      <c r="R44" s="7"/>
    </row>
    <row r="45" spans="1:18" s="92" customFormat="1" x14ac:dyDescent="0.2">
      <c r="A45" s="538"/>
      <c r="B45" s="4"/>
      <c r="C45" s="208"/>
      <c r="D45" s="209"/>
      <c r="E45" s="210"/>
      <c r="F45" s="296"/>
      <c r="G45" s="300"/>
      <c r="H45" s="296"/>
      <c r="I45" s="296"/>
      <c r="J45" s="296"/>
      <c r="K45" s="297"/>
      <c r="L45" s="527"/>
      <c r="M45" s="298"/>
      <c r="N45" s="35"/>
      <c r="O45" s="80"/>
      <c r="P45" s="78"/>
      <c r="Q45" s="76"/>
      <c r="R45" s="7"/>
    </row>
    <row r="46" spans="1:18" s="92" customFormat="1" x14ac:dyDescent="0.2">
      <c r="A46" s="538"/>
      <c r="B46" s="4"/>
      <c r="C46" s="301"/>
      <c r="D46" s="302"/>
      <c r="E46" s="303"/>
      <c r="F46" s="304"/>
      <c r="G46" s="305">
        <f>SUM(G5:G45)</f>
        <v>18652000</v>
      </c>
      <c r="H46" s="306"/>
      <c r="I46" s="306">
        <f>SUM(I5:I45)</f>
        <v>24584000</v>
      </c>
      <c r="J46" s="306"/>
      <c r="K46" s="307">
        <f>SUM(K5:K45)</f>
        <v>0</v>
      </c>
      <c r="L46" s="530"/>
      <c r="M46" s="308">
        <f>SUM(M5:M45)</f>
        <v>-5932000</v>
      </c>
      <c r="N46" s="35"/>
      <c r="O46" s="80"/>
      <c r="P46" s="78"/>
      <c r="Q46" s="76"/>
      <c r="R46" s="7"/>
    </row>
    <row r="47" spans="1:18" s="92" customFormat="1" ht="13.5" thickBot="1" x14ac:dyDescent="0.25">
      <c r="A47" s="538"/>
      <c r="B47" s="4"/>
      <c r="C47" s="20"/>
      <c r="D47" s="20"/>
      <c r="E47" s="21"/>
      <c r="F47" s="21"/>
      <c r="G47" s="21"/>
      <c r="H47" s="21"/>
      <c r="I47" s="21"/>
      <c r="J47" s="21"/>
      <c r="K47" s="240">
        <f>IF(K46&lt;0,"WARNING",0)</f>
        <v>0</v>
      </c>
      <c r="L47" s="21"/>
      <c r="M47" s="364">
        <f>M46/I46</f>
        <v>-0.24129515131793036</v>
      </c>
      <c r="N47" s="35"/>
      <c r="O47" s="81"/>
      <c r="P47" s="82"/>
      <c r="Q47" s="83"/>
      <c r="R47" s="7"/>
    </row>
    <row r="48" spans="1:18" s="92" customFormat="1" x14ac:dyDescent="0.2">
      <c r="A48" s="538"/>
      <c r="B48" s="6"/>
      <c r="C48" s="7"/>
      <c r="D48" s="7"/>
      <c r="E48" s="13"/>
      <c r="F48" s="13"/>
      <c r="G48" s="13"/>
      <c r="H48" s="13"/>
      <c r="I48" s="13"/>
      <c r="J48" s="13"/>
      <c r="K48" s="22"/>
      <c r="L48" s="13"/>
      <c r="M48" s="23"/>
      <c r="N48" s="35"/>
      <c r="O48" s="536"/>
      <c r="P48" s="536"/>
      <c r="Q48" s="536"/>
      <c r="R48" s="7"/>
    </row>
    <row r="49" spans="1:1" hidden="1" x14ac:dyDescent="0.2">
      <c r="A49" s="538"/>
    </row>
    <row r="50" spans="1:1" hidden="1" x14ac:dyDescent="0.2">
      <c r="A50" s="538"/>
    </row>
    <row r="51" spans="1:1" hidden="1" x14ac:dyDescent="0.2">
      <c r="A51" s="538"/>
    </row>
    <row r="52" spans="1:1" hidden="1" x14ac:dyDescent="0.2">
      <c r="A52" s="538"/>
    </row>
    <row r="53" spans="1:1" hidden="1" x14ac:dyDescent="0.2">
      <c r="A53" s="538"/>
    </row>
    <row r="54" spans="1:1" hidden="1" x14ac:dyDescent="0.2">
      <c r="A54" s="538"/>
    </row>
    <row r="55" spans="1:1" hidden="1" x14ac:dyDescent="0.2">
      <c r="A55" s="538"/>
    </row>
    <row r="56" spans="1:1" hidden="1" x14ac:dyDescent="0.2">
      <c r="A56" s="538"/>
    </row>
    <row r="57" spans="1:1" hidden="1" x14ac:dyDescent="0.2">
      <c r="A57" s="538"/>
    </row>
    <row r="58" spans="1:1" hidden="1" x14ac:dyDescent="0.2">
      <c r="A58" s="538"/>
    </row>
    <row r="59" spans="1:1" hidden="1" x14ac:dyDescent="0.2">
      <c r="A59" s="538"/>
    </row>
    <row r="60" spans="1:1" hidden="1" x14ac:dyDescent="0.2">
      <c r="A60" s="538"/>
    </row>
    <row r="61" spans="1:1" hidden="1" x14ac:dyDescent="0.2">
      <c r="A61" s="538"/>
    </row>
    <row r="62" spans="1:1" hidden="1" x14ac:dyDescent="0.2">
      <c r="A62" s="538"/>
    </row>
    <row r="63" spans="1:1" hidden="1" x14ac:dyDescent="0.2">
      <c r="A63" s="538"/>
    </row>
    <row r="64" spans="1:1" hidden="1" x14ac:dyDescent="0.2">
      <c r="A64" s="538"/>
    </row>
    <row r="65" spans="1:1" hidden="1" x14ac:dyDescent="0.2">
      <c r="A65" s="538"/>
    </row>
    <row r="66" spans="1:1" hidden="1" x14ac:dyDescent="0.2">
      <c r="A66" s="538"/>
    </row>
    <row r="67" spans="1:1" hidden="1" x14ac:dyDescent="0.2">
      <c r="A67" s="538"/>
    </row>
    <row r="68" spans="1:1" hidden="1" x14ac:dyDescent="0.2">
      <c r="A68" s="538"/>
    </row>
    <row r="69" spans="1:1" hidden="1" x14ac:dyDescent="0.2">
      <c r="A69" s="538"/>
    </row>
    <row r="70" spans="1:1" hidden="1" x14ac:dyDescent="0.2">
      <c r="A70" s="538"/>
    </row>
    <row r="71" spans="1:1" hidden="1" x14ac:dyDescent="0.2">
      <c r="A71" s="538"/>
    </row>
    <row r="72" spans="1:1" hidden="1" x14ac:dyDescent="0.2">
      <c r="A72" s="538"/>
    </row>
    <row r="73" spans="1:1" hidden="1" x14ac:dyDescent="0.2">
      <c r="A73" s="538"/>
    </row>
    <row r="74" spans="1:1" hidden="1" x14ac:dyDescent="0.2">
      <c r="A74" s="538"/>
    </row>
    <row r="75" spans="1:1" hidden="1" x14ac:dyDescent="0.2">
      <c r="A75" s="538"/>
    </row>
    <row r="76" spans="1:1" hidden="1" x14ac:dyDescent="0.2">
      <c r="A76" s="538"/>
    </row>
    <row r="77" spans="1:1" hidden="1" x14ac:dyDescent="0.2">
      <c r="A77" s="538"/>
    </row>
    <row r="78" spans="1:1" hidden="1" x14ac:dyDescent="0.2">
      <c r="A78" s="538"/>
    </row>
    <row r="79" spans="1:1" hidden="1" x14ac:dyDescent="0.2">
      <c r="A79" s="538"/>
    </row>
    <row r="80" spans="1:1" hidden="1" x14ac:dyDescent="0.2">
      <c r="A80" s="538"/>
    </row>
    <row r="81" spans="1:1" hidden="1" x14ac:dyDescent="0.2">
      <c r="A81" s="538"/>
    </row>
  </sheetData>
  <sheetProtection sheet="1" objects="1" scenarios="1"/>
  <mergeCells count="1">
    <mergeCell ref="P2:Q2"/>
  </mergeCells>
  <printOptions horizontalCentered="1"/>
  <pageMargins left="0.25" right="0.25" top="0.5" bottom="0.5" header="0.3" footer="0.3"/>
  <pageSetup scale="80" fitToHeight="0" orientation="landscape" r:id="rId1"/>
  <ignoredErrors>
    <ignoredError sqref="O5:O11 O28 O13:O17 O19:O24 O26:O27 O30:O32" evalError="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pageSetUpPr fitToPage="1"/>
  </sheetPr>
  <dimension ref="A1:M49"/>
  <sheetViews>
    <sheetView showGridLines="0" topLeftCell="A26" zoomScaleNormal="100" zoomScaleSheetLayoutView="85" workbookViewId="0"/>
  </sheetViews>
  <sheetFormatPr defaultColWidth="0" defaultRowHeight="15" zeroHeight="1" x14ac:dyDescent="0.25"/>
  <cols>
    <col min="1" max="1" width="5.7109375" customWidth="1"/>
    <col min="2" max="2" width="46.85546875" bestFit="1" customWidth="1"/>
    <col min="3" max="3" width="12.7109375" customWidth="1"/>
    <col min="4" max="4" width="2.85546875" bestFit="1" customWidth="1"/>
    <col min="5" max="9" width="12.7109375" customWidth="1"/>
    <col min="10" max="10" width="5.7109375" customWidth="1"/>
    <col min="11" max="11" width="37.140625" hidden="1" customWidth="1"/>
    <col min="12" max="12" width="20.5703125" hidden="1" customWidth="1"/>
    <col min="13" max="13" width="11.42578125" hidden="1" customWidth="1"/>
    <col min="14" max="16384" width="9.140625" hidden="1"/>
  </cols>
  <sheetData>
    <row r="1" spans="1:13" ht="14.25" customHeight="1" x14ac:dyDescent="0.25">
      <c r="A1" s="597" t="s">
        <v>267</v>
      </c>
      <c r="B1" s="598"/>
      <c r="C1" s="1"/>
      <c r="D1" s="1"/>
      <c r="E1" s="12"/>
      <c r="F1" s="12"/>
      <c r="G1" s="1"/>
      <c r="H1" s="1"/>
      <c r="I1" s="1"/>
      <c r="J1" s="1"/>
    </row>
    <row r="2" spans="1:13" x14ac:dyDescent="0.25">
      <c r="A2" s="231"/>
      <c r="B2" s="232"/>
      <c r="C2" s="232"/>
      <c r="D2" s="232"/>
      <c r="E2" s="232"/>
      <c r="F2" s="232"/>
      <c r="G2" s="232"/>
      <c r="H2" s="232"/>
      <c r="I2" s="390"/>
      <c r="J2" s="7"/>
    </row>
    <row r="3" spans="1:13" ht="51.75" thickBot="1" x14ac:dyDescent="0.3">
      <c r="A3" s="236"/>
      <c r="B3" s="4"/>
      <c r="C3" s="601" t="s">
        <v>18</v>
      </c>
      <c r="D3" s="602" t="s">
        <v>65</v>
      </c>
      <c r="E3" s="603" t="s">
        <v>107</v>
      </c>
      <c r="F3" s="604" t="s">
        <v>108</v>
      </c>
      <c r="G3" s="604" t="s">
        <v>268</v>
      </c>
      <c r="H3" s="604" t="s">
        <v>161</v>
      </c>
      <c r="I3" s="605" t="s">
        <v>261</v>
      </c>
      <c r="J3" s="7"/>
    </row>
    <row r="4" spans="1:13" ht="15" customHeight="1" thickBot="1" x14ac:dyDescent="0.3">
      <c r="A4" s="241"/>
      <c r="B4" s="353" t="s">
        <v>16</v>
      </c>
      <c r="C4" s="581" t="s">
        <v>18</v>
      </c>
      <c r="D4" s="580"/>
      <c r="E4" s="582"/>
      <c r="F4" s="583"/>
      <c r="G4" s="584"/>
      <c r="H4" s="584"/>
      <c r="I4" s="585"/>
      <c r="J4" s="7"/>
      <c r="K4" s="41" t="str">
        <f t="shared" ref="K4:K11" si="0">B4</f>
        <v>Residential</v>
      </c>
      <c r="L4" s="39" t="s">
        <v>200</v>
      </c>
      <c r="M4" s="43" t="s">
        <v>192</v>
      </c>
    </row>
    <row r="5" spans="1:13" ht="15" customHeight="1" x14ac:dyDescent="0.25">
      <c r="A5" s="237"/>
      <c r="B5" s="6" t="s">
        <v>70</v>
      </c>
      <c r="C5" s="204">
        <f>Costs!C5</f>
        <v>0</v>
      </c>
      <c r="D5" s="205"/>
      <c r="E5" s="202">
        <f>Value!E5*$L$5</f>
        <v>29050</v>
      </c>
      <c r="F5" s="206">
        <f t="shared" ref="F5:F10" si="1">ROUND(C5*E5,-3)</f>
        <v>0</v>
      </c>
      <c r="G5" s="206">
        <f>ROUND(M5*C5,-3)</f>
        <v>0</v>
      </c>
      <c r="H5" s="206"/>
      <c r="I5" s="206">
        <f t="shared" ref="I5:I11" si="2">G5*10</f>
        <v>0</v>
      </c>
      <c r="J5" s="7"/>
      <c r="K5" s="78" t="str">
        <f t="shared" si="0"/>
        <v xml:space="preserve"> - Affordable Podium Apartments </v>
      </c>
      <c r="L5" s="84">
        <v>0.83</v>
      </c>
      <c r="M5" s="85">
        <v>-2000</v>
      </c>
    </row>
    <row r="6" spans="1:13" ht="15" customHeight="1" x14ac:dyDescent="0.25">
      <c r="A6" s="236"/>
      <c r="B6" s="6" t="s">
        <v>71</v>
      </c>
      <c r="C6" s="204">
        <f>Costs!C6</f>
        <v>0</v>
      </c>
      <c r="D6" s="205"/>
      <c r="E6" s="202">
        <f>Value!E6*$L$6</f>
        <v>92130</v>
      </c>
      <c r="F6" s="206">
        <f t="shared" si="1"/>
        <v>0</v>
      </c>
      <c r="G6" s="206">
        <f>ROUND(F6*M6,-3)</f>
        <v>0</v>
      </c>
      <c r="H6" s="206"/>
      <c r="I6" s="206">
        <f t="shared" si="2"/>
        <v>0</v>
      </c>
      <c r="J6" s="37"/>
      <c r="K6" s="78" t="str">
        <f t="shared" si="0"/>
        <v xml:space="preserve"> - Market-Rate Podium Apartments </v>
      </c>
      <c r="L6" s="84">
        <v>0.83</v>
      </c>
      <c r="M6" s="86">
        <v>7.4999999999999997E-3</v>
      </c>
    </row>
    <row r="7" spans="1:13" ht="15" customHeight="1" x14ac:dyDescent="0.25">
      <c r="A7" s="348"/>
      <c r="B7" s="6" t="s">
        <v>72</v>
      </c>
      <c r="C7" s="204">
        <f>Costs!C7</f>
        <v>0</v>
      </c>
      <c r="D7" s="205"/>
      <c r="E7" s="202">
        <f>Value!E7*$L$7</f>
        <v>56440</v>
      </c>
      <c r="F7" s="206">
        <f t="shared" si="1"/>
        <v>0</v>
      </c>
      <c r="G7" s="206">
        <f>ROUND(M7*C7,-3)</f>
        <v>0</v>
      </c>
      <c r="H7" s="206"/>
      <c r="I7" s="206">
        <f t="shared" si="2"/>
        <v>0</v>
      </c>
      <c r="J7" s="37"/>
      <c r="K7" s="78" t="str">
        <f t="shared" si="0"/>
        <v xml:space="preserve"> - Affordable Townhouses</v>
      </c>
      <c r="L7" s="84">
        <v>0.83</v>
      </c>
      <c r="M7" s="85">
        <v>-2400</v>
      </c>
    </row>
    <row r="8" spans="1:13" ht="15" customHeight="1" x14ac:dyDescent="0.25">
      <c r="A8" s="348"/>
      <c r="B8" s="6" t="s">
        <v>73</v>
      </c>
      <c r="C8" s="204">
        <f>Costs!C8</f>
        <v>0</v>
      </c>
      <c r="D8" s="205"/>
      <c r="E8" s="202">
        <f>Value!E8*$L$8</f>
        <v>175960</v>
      </c>
      <c r="F8" s="206">
        <f t="shared" si="1"/>
        <v>0</v>
      </c>
      <c r="G8" s="206">
        <f>ROUND(F8*M8,-3)</f>
        <v>0</v>
      </c>
      <c r="H8" s="206"/>
      <c r="I8" s="206">
        <f t="shared" si="2"/>
        <v>0</v>
      </c>
      <c r="J8" s="37"/>
      <c r="K8" s="78" t="str">
        <f t="shared" si="0"/>
        <v xml:space="preserve"> - Market-Rate Townhouses</v>
      </c>
      <c r="L8" s="84">
        <v>0.83</v>
      </c>
      <c r="M8" s="86">
        <v>7.4999999999999997E-3</v>
      </c>
    </row>
    <row r="9" spans="1:13" ht="15" customHeight="1" x14ac:dyDescent="0.25">
      <c r="A9" s="348"/>
      <c r="B9" s="6" t="s">
        <v>22</v>
      </c>
      <c r="C9" s="204">
        <f>Costs!C9</f>
        <v>0</v>
      </c>
      <c r="D9" s="205"/>
      <c r="E9" s="202">
        <f>Value!E9*$L$9</f>
        <v>224100</v>
      </c>
      <c r="F9" s="206">
        <f t="shared" si="1"/>
        <v>0</v>
      </c>
      <c r="G9" s="206">
        <f>ROUND(F9*M9,-3)</f>
        <v>0</v>
      </c>
      <c r="H9" s="206"/>
      <c r="I9" s="206">
        <f t="shared" si="2"/>
        <v>0</v>
      </c>
      <c r="J9" s="37"/>
      <c r="K9" s="78" t="str">
        <f t="shared" si="0"/>
        <v xml:space="preserve"> - Luxury High Rise Condos</v>
      </c>
      <c r="L9" s="84">
        <v>0.83</v>
      </c>
      <c r="M9" s="86">
        <v>7.0000000000000001E-3</v>
      </c>
    </row>
    <row r="10" spans="1:13" ht="15" customHeight="1" x14ac:dyDescent="0.25">
      <c r="A10" s="348"/>
      <c r="B10" s="6" t="s">
        <v>74</v>
      </c>
      <c r="C10" s="204">
        <f>Costs!C10</f>
        <v>0</v>
      </c>
      <c r="D10" s="205"/>
      <c r="E10" s="202">
        <f>Value!E10*$L$10</f>
        <v>0</v>
      </c>
      <c r="F10" s="206">
        <f t="shared" si="1"/>
        <v>0</v>
      </c>
      <c r="G10" s="206">
        <f>ROUND(F10*M10,-3)</f>
        <v>0</v>
      </c>
      <c r="H10" s="206"/>
      <c r="I10" s="206">
        <f t="shared" si="2"/>
        <v>0</v>
      </c>
      <c r="J10" s="37"/>
      <c r="K10" s="78" t="str">
        <f t="shared" si="0"/>
        <v xml:space="preserve"> - Phoenix Hotel/Homeless Shelter</v>
      </c>
      <c r="L10" s="87">
        <v>0</v>
      </c>
      <c r="M10" s="86">
        <v>5.0000000000000001E-3</v>
      </c>
    </row>
    <row r="11" spans="1:13" ht="15" customHeight="1" thickBot="1" x14ac:dyDescent="0.3">
      <c r="A11" s="348"/>
      <c r="B11" s="6" t="s">
        <v>75</v>
      </c>
      <c r="C11" s="204">
        <f>Costs!C11</f>
        <v>0</v>
      </c>
      <c r="D11" s="205"/>
      <c r="E11" s="202">
        <f>Value!E11*$L$11</f>
        <v>0</v>
      </c>
      <c r="F11" s="206">
        <f>ROUND(C11*E11,-3)</f>
        <v>0</v>
      </c>
      <c r="G11" s="206">
        <f>ROUND(F11*M11,-3)</f>
        <v>0</v>
      </c>
      <c r="H11" s="206"/>
      <c r="I11" s="206">
        <f t="shared" si="2"/>
        <v>0</v>
      </c>
      <c r="J11" s="37"/>
      <c r="K11" s="78" t="str">
        <f t="shared" si="0"/>
        <v xml:space="preserve"> - New Homeless Shelter</v>
      </c>
      <c r="L11" s="87">
        <v>0</v>
      </c>
      <c r="M11" s="86">
        <v>5.0000000000000001E-3</v>
      </c>
    </row>
    <row r="12" spans="1:13" ht="15" customHeight="1" thickBot="1" x14ac:dyDescent="0.3">
      <c r="A12" s="348"/>
      <c r="B12" s="352" t="s">
        <v>26</v>
      </c>
      <c r="C12" s="287" t="s">
        <v>27</v>
      </c>
      <c r="D12" s="406"/>
      <c r="E12" s="288"/>
      <c r="F12" s="407"/>
      <c r="G12" s="408"/>
      <c r="H12" s="409"/>
      <c r="I12" s="410"/>
      <c r="J12" s="37"/>
      <c r="K12" s="41" t="s">
        <v>26</v>
      </c>
      <c r="L12" s="39" t="str">
        <f>L4</f>
        <v>Assessed Value Ratio</v>
      </c>
      <c r="M12" s="43" t="str">
        <f t="shared" ref="M12" si="3">M4</f>
        <v>Tax Rate</v>
      </c>
    </row>
    <row r="13" spans="1:13" ht="15" customHeight="1" x14ac:dyDescent="0.25">
      <c r="A13" s="348"/>
      <c r="B13" s="6" t="s">
        <v>31</v>
      </c>
      <c r="C13" s="204">
        <f>Costs!C13</f>
        <v>0</v>
      </c>
      <c r="D13" s="205"/>
      <c r="E13" s="202">
        <f>Value!E13*$L13</f>
        <v>135.39374999999998</v>
      </c>
      <c r="F13" s="206">
        <f>ROUND(C13*E13,-3)</f>
        <v>0</v>
      </c>
      <c r="G13" s="206">
        <f>ROUND(F13*M13,-3)</f>
        <v>0</v>
      </c>
      <c r="H13" s="206"/>
      <c r="I13" s="206">
        <f>G13*10</f>
        <v>0</v>
      </c>
      <c r="J13" s="37"/>
      <c r="K13" s="75" t="str">
        <f t="shared" ref="K13:K29" si="4">B13</f>
        <v xml:space="preserve"> - Low-Rise Office Building</v>
      </c>
      <c r="L13" s="84">
        <v>0.83</v>
      </c>
      <c r="M13" s="86">
        <v>7.4999999999999997E-3</v>
      </c>
    </row>
    <row r="14" spans="1:13" ht="15" customHeight="1" x14ac:dyDescent="0.25">
      <c r="A14" s="348"/>
      <c r="B14" s="6" t="s">
        <v>33</v>
      </c>
      <c r="C14" s="204">
        <f>Costs!C14</f>
        <v>0</v>
      </c>
      <c r="D14" s="205"/>
      <c r="E14" s="202">
        <f>Value!E14*$L14</f>
        <v>201.15050000000002</v>
      </c>
      <c r="F14" s="206">
        <f t="shared" ref="F14:F34" si="5">ROUND(C14*E14,-3)</f>
        <v>0</v>
      </c>
      <c r="G14" s="206">
        <f>ROUND(F14*M14,-3)</f>
        <v>0</v>
      </c>
      <c r="H14" s="206"/>
      <c r="I14" s="206">
        <f>G14*10</f>
        <v>0</v>
      </c>
      <c r="J14" s="37"/>
      <c r="K14" s="78" t="str">
        <f t="shared" si="4"/>
        <v xml:space="preserve"> - Mid-Rise Office Building</v>
      </c>
      <c r="L14" s="84">
        <f>L13</f>
        <v>0.83</v>
      </c>
      <c r="M14" s="86">
        <v>7.4999999999999997E-3</v>
      </c>
    </row>
    <row r="15" spans="1:13" ht="15" customHeight="1" x14ac:dyDescent="0.25">
      <c r="A15" s="348"/>
      <c r="B15" s="6" t="s">
        <v>76</v>
      </c>
      <c r="C15" s="204">
        <f>Costs!C15</f>
        <v>0</v>
      </c>
      <c r="D15" s="205"/>
      <c r="E15" s="202">
        <f>Value!E15*$L15</f>
        <v>99.6</v>
      </c>
      <c r="F15" s="206">
        <f t="shared" si="5"/>
        <v>0</v>
      </c>
      <c r="G15" s="206">
        <f>ROUND(F15*M15,-3)</f>
        <v>0</v>
      </c>
      <c r="H15" s="206"/>
      <c r="I15" s="206">
        <f>G15*10</f>
        <v>0</v>
      </c>
      <c r="J15" s="37"/>
      <c r="K15" s="78" t="str">
        <f t="shared" si="4"/>
        <v xml:space="preserve"> - Phoenix Hotel/Office</v>
      </c>
      <c r="L15" s="84">
        <f t="shared" ref="L15:L17" si="6">L14</f>
        <v>0.83</v>
      </c>
      <c r="M15" s="86">
        <v>7.4999999999999997E-3</v>
      </c>
    </row>
    <row r="16" spans="1:13" ht="15" customHeight="1" x14ac:dyDescent="0.25">
      <c r="A16" s="237"/>
      <c r="B16" s="6" t="s">
        <v>77</v>
      </c>
      <c r="C16" s="204">
        <f>Costs!C16</f>
        <v>46500</v>
      </c>
      <c r="D16" s="205"/>
      <c r="E16" s="202">
        <f>Value!E16*$L16</f>
        <v>97.94</v>
      </c>
      <c r="F16" s="206">
        <f t="shared" si="5"/>
        <v>4554000</v>
      </c>
      <c r="G16" s="206">
        <f>ROUND(F16*M16,-3)</f>
        <v>30000</v>
      </c>
      <c r="H16" s="206"/>
      <c r="I16" s="206">
        <f>G16*10</f>
        <v>300000</v>
      </c>
      <c r="J16" s="37"/>
      <c r="K16" s="78" t="str">
        <f t="shared" si="4"/>
        <v xml:space="preserve"> - York Dry Goods/Office</v>
      </c>
      <c r="L16" s="84">
        <f t="shared" si="6"/>
        <v>0.83</v>
      </c>
      <c r="M16" s="86">
        <v>6.4999999999999997E-3</v>
      </c>
    </row>
    <row r="17" spans="1:13" ht="15" customHeight="1" thickBot="1" x14ac:dyDescent="0.3">
      <c r="A17" s="236"/>
      <c r="B17" s="6" t="s">
        <v>78</v>
      </c>
      <c r="C17" s="204">
        <f>Costs!C17</f>
        <v>60000</v>
      </c>
      <c r="D17" s="205"/>
      <c r="E17" s="202">
        <f>Value!E17*$L17</f>
        <v>97.94</v>
      </c>
      <c r="F17" s="206">
        <f t="shared" si="5"/>
        <v>5876000</v>
      </c>
      <c r="G17" s="206">
        <f>ROUND(F17*M17,-3)</f>
        <v>38000</v>
      </c>
      <c r="H17" s="206"/>
      <c r="I17" s="206">
        <f>G17*10</f>
        <v>380000</v>
      </c>
      <c r="J17" s="37"/>
      <c r="K17" s="78" t="str">
        <f t="shared" si="4"/>
        <v xml:space="preserve"> - Victorian Row/Office</v>
      </c>
      <c r="L17" s="84">
        <f t="shared" si="6"/>
        <v>0.83</v>
      </c>
      <c r="M17" s="86">
        <v>6.4999999999999997E-3</v>
      </c>
    </row>
    <row r="18" spans="1:13" ht="15.75" thickBot="1" x14ac:dyDescent="0.3">
      <c r="A18" s="237"/>
      <c r="B18" s="352" t="s">
        <v>35</v>
      </c>
      <c r="C18" s="287" t="str">
        <f>Costs!C18</f>
        <v>Building SF</v>
      </c>
      <c r="D18" s="406"/>
      <c r="E18" s="288"/>
      <c r="F18" s="407"/>
      <c r="G18" s="408"/>
      <c r="H18" s="409"/>
      <c r="I18" s="410"/>
      <c r="J18" s="37"/>
      <c r="K18" s="41" t="str">
        <f t="shared" si="4"/>
        <v>Retail</v>
      </c>
      <c r="L18" s="39" t="str">
        <f>L12</f>
        <v>Assessed Value Ratio</v>
      </c>
      <c r="M18" s="43" t="str">
        <f>M12</f>
        <v>Tax Rate</v>
      </c>
    </row>
    <row r="19" spans="1:13" x14ac:dyDescent="0.25">
      <c r="A19" s="236"/>
      <c r="B19" s="6" t="s">
        <v>37</v>
      </c>
      <c r="C19" s="204">
        <f>Costs!C19</f>
        <v>0</v>
      </c>
      <c r="D19" s="205"/>
      <c r="E19" s="202">
        <f>Value!E19*L19</f>
        <v>130</v>
      </c>
      <c r="F19" s="206">
        <f t="shared" si="5"/>
        <v>0</v>
      </c>
      <c r="G19" s="206">
        <f t="shared" ref="G19:G24" si="7">ROUND(F19*M19,-3)</f>
        <v>0</v>
      </c>
      <c r="H19" s="206"/>
      <c r="I19" s="206">
        <f t="shared" ref="I19:I24" si="8">G19*10</f>
        <v>0</v>
      </c>
      <c r="J19" s="37"/>
      <c r="K19" s="75" t="str">
        <f t="shared" si="4"/>
        <v xml:space="preserve"> - Neighborhood Retail</v>
      </c>
      <c r="L19" s="87">
        <v>1</v>
      </c>
      <c r="M19" s="86">
        <v>0.02</v>
      </c>
    </row>
    <row r="20" spans="1:13" x14ac:dyDescent="0.25">
      <c r="A20" s="237"/>
      <c r="B20" s="6" t="s">
        <v>39</v>
      </c>
      <c r="C20" s="204">
        <f>Costs!C20</f>
        <v>40000</v>
      </c>
      <c r="D20" s="205"/>
      <c r="E20" s="202">
        <f>Value!E20*L20</f>
        <v>124.08499999999999</v>
      </c>
      <c r="F20" s="206">
        <f t="shared" si="5"/>
        <v>4963000</v>
      </c>
      <c r="G20" s="206">
        <f t="shared" si="7"/>
        <v>50000</v>
      </c>
      <c r="H20" s="206"/>
      <c r="I20" s="206">
        <f t="shared" si="8"/>
        <v>500000</v>
      </c>
      <c r="J20" s="37"/>
      <c r="K20" s="78" t="str">
        <f t="shared" si="4"/>
        <v xml:space="preserve"> - Grocery/Drug</v>
      </c>
      <c r="L20" s="84">
        <f>L17</f>
        <v>0.83</v>
      </c>
      <c r="M20" s="86">
        <v>0.01</v>
      </c>
    </row>
    <row r="21" spans="1:13" x14ac:dyDescent="0.25">
      <c r="A21" s="236"/>
      <c r="B21" s="6" t="s">
        <v>40</v>
      </c>
      <c r="C21" s="204">
        <f>Costs!C21</f>
        <v>0</v>
      </c>
      <c r="D21" s="205"/>
      <c r="E21" s="202">
        <f>Value!E21*L21</f>
        <v>162.5</v>
      </c>
      <c r="F21" s="206">
        <f t="shared" si="5"/>
        <v>0</v>
      </c>
      <c r="G21" s="206">
        <f t="shared" si="7"/>
        <v>0</v>
      </c>
      <c r="H21" s="206"/>
      <c r="I21" s="206">
        <f t="shared" si="8"/>
        <v>0</v>
      </c>
      <c r="J21" s="37"/>
      <c r="K21" s="78" t="str">
        <f t="shared" si="4"/>
        <v xml:space="preserve"> - QMart</v>
      </c>
      <c r="L21" s="87">
        <v>1</v>
      </c>
      <c r="M21" s="86">
        <v>1.4999999999999999E-2</v>
      </c>
    </row>
    <row r="22" spans="1:13" x14ac:dyDescent="0.25">
      <c r="A22" s="238"/>
      <c r="B22" s="6" t="s">
        <v>152</v>
      </c>
      <c r="C22" s="204">
        <f>Costs!C22</f>
        <v>0</v>
      </c>
      <c r="D22" s="205"/>
      <c r="E22" s="202">
        <f>Value!E22*L22</f>
        <v>130</v>
      </c>
      <c r="F22" s="206">
        <f t="shared" si="5"/>
        <v>0</v>
      </c>
      <c r="G22" s="206">
        <f t="shared" si="7"/>
        <v>0</v>
      </c>
      <c r="H22" s="206"/>
      <c r="I22" s="206">
        <f t="shared" si="8"/>
        <v>0</v>
      </c>
      <c r="J22" s="37"/>
      <c r="K22" s="78" t="str">
        <f t="shared" si="4"/>
        <v xml:space="preserve"> - Phoenix Hotel/Retail </v>
      </c>
      <c r="L22" s="87">
        <v>1</v>
      </c>
      <c r="M22" s="86">
        <v>0.02</v>
      </c>
    </row>
    <row r="23" spans="1:13" x14ac:dyDescent="0.25">
      <c r="A23" s="236"/>
      <c r="B23" s="6" t="s">
        <v>79</v>
      </c>
      <c r="C23" s="204">
        <f>Costs!C23</f>
        <v>0</v>
      </c>
      <c r="D23" s="205"/>
      <c r="E23" s="202">
        <f>Value!E23*L23</f>
        <v>125</v>
      </c>
      <c r="F23" s="206">
        <f t="shared" si="5"/>
        <v>0</v>
      </c>
      <c r="G23" s="206">
        <f t="shared" si="7"/>
        <v>0</v>
      </c>
      <c r="H23" s="206"/>
      <c r="I23" s="206">
        <f t="shared" si="8"/>
        <v>0</v>
      </c>
      <c r="J23" s="37"/>
      <c r="K23" s="78" t="str">
        <f t="shared" si="4"/>
        <v xml:space="preserve"> - York Dry Goods/Retail</v>
      </c>
      <c r="L23" s="87">
        <v>1</v>
      </c>
      <c r="M23" s="86">
        <v>0.02</v>
      </c>
    </row>
    <row r="24" spans="1:13" ht="15.75" thickBot="1" x14ac:dyDescent="0.3">
      <c r="A24" s="237"/>
      <c r="B24" s="6" t="s">
        <v>80</v>
      </c>
      <c r="C24" s="204">
        <f>Costs!C24</f>
        <v>0</v>
      </c>
      <c r="D24" s="205"/>
      <c r="E24" s="202">
        <f>Value!E24*L24</f>
        <v>125</v>
      </c>
      <c r="F24" s="206">
        <f t="shared" si="5"/>
        <v>0</v>
      </c>
      <c r="G24" s="206">
        <f t="shared" si="7"/>
        <v>0</v>
      </c>
      <c r="H24" s="206"/>
      <c r="I24" s="206">
        <f t="shared" si="8"/>
        <v>0</v>
      </c>
      <c r="J24" s="37"/>
      <c r="K24" s="78" t="str">
        <f t="shared" si="4"/>
        <v xml:space="preserve"> - Victorian Row/Retail</v>
      </c>
      <c r="L24" s="87">
        <v>1</v>
      </c>
      <c r="M24" s="86">
        <v>0.02</v>
      </c>
    </row>
    <row r="25" spans="1:13" ht="15.75" thickBot="1" x14ac:dyDescent="0.3">
      <c r="A25" s="237"/>
      <c r="B25" s="352" t="s">
        <v>81</v>
      </c>
      <c r="C25" s="287" t="str">
        <f>Costs!C25</f>
        <v>Building SF</v>
      </c>
      <c r="D25" s="406"/>
      <c r="E25" s="288"/>
      <c r="F25" s="407"/>
      <c r="G25" s="408"/>
      <c r="H25" s="409"/>
      <c r="I25" s="410"/>
      <c r="J25" s="37"/>
      <c r="K25" s="41" t="str">
        <f t="shared" si="4"/>
        <v>Community Facilities</v>
      </c>
      <c r="L25" s="39" t="str">
        <f>L18</f>
        <v>Assessed Value Ratio</v>
      </c>
      <c r="M25" s="43" t="str">
        <f t="shared" ref="M25" si="9">M18</f>
        <v>Tax Rate</v>
      </c>
    </row>
    <row r="26" spans="1:13" x14ac:dyDescent="0.25">
      <c r="A26" s="237"/>
      <c r="B26" s="6" t="s">
        <v>177</v>
      </c>
      <c r="C26" s="208">
        <f>SUM('Use Allocation'!E17:E27)</f>
        <v>1500</v>
      </c>
      <c r="D26" s="205"/>
      <c r="E26" s="202">
        <f>Value!E26*L26</f>
        <v>0</v>
      </c>
      <c r="F26" s="206">
        <f t="shared" si="5"/>
        <v>0</v>
      </c>
      <c r="G26" s="206">
        <f>ROUND(F26*M26,-3)</f>
        <v>0</v>
      </c>
      <c r="H26" s="206">
        <f>ROUND((Value!E26*'City Revenue'!C26)/10,-3)*0.75</f>
        <v>8250</v>
      </c>
      <c r="I26" s="206">
        <f>-H26*10</f>
        <v>-82500</v>
      </c>
      <c r="J26" s="38"/>
      <c r="K26" s="75" t="str">
        <f t="shared" si="4"/>
        <v xml:space="preserve"> - York Dry Goods (City subsidized)</v>
      </c>
      <c r="L26" s="87">
        <v>0</v>
      </c>
      <c r="M26" s="86">
        <v>0.01</v>
      </c>
    </row>
    <row r="27" spans="1:13" x14ac:dyDescent="0.25">
      <c r="A27" s="237"/>
      <c r="B27" s="6" t="s">
        <v>162</v>
      </c>
      <c r="C27" s="208">
        <f>'Use Allocation'!E28+'Use Allocation'!E29</f>
        <v>0</v>
      </c>
      <c r="D27" s="205"/>
      <c r="E27" s="202">
        <f>Value!E27*L27</f>
        <v>0</v>
      </c>
      <c r="F27" s="206">
        <f t="shared" si="5"/>
        <v>0</v>
      </c>
      <c r="G27" s="206">
        <f>ROUND(F27*M27,-3)</f>
        <v>0</v>
      </c>
      <c r="H27" s="206"/>
      <c r="I27" s="206">
        <f>G27*10</f>
        <v>0</v>
      </c>
      <c r="J27" s="38"/>
      <c r="K27" s="78" t="str">
        <f t="shared" si="4"/>
        <v xml:space="preserve"> - York Dry Goods (Not Subsidized)</v>
      </c>
      <c r="L27" s="87">
        <v>1</v>
      </c>
      <c r="M27" s="86">
        <v>0.01</v>
      </c>
    </row>
    <row r="28" spans="1:13" ht="15.75" thickBot="1" x14ac:dyDescent="0.3">
      <c r="A28" s="237"/>
      <c r="B28" s="6" t="s">
        <v>181</v>
      </c>
      <c r="C28" s="208">
        <f>Costs!C28</f>
        <v>0</v>
      </c>
      <c r="D28" s="205"/>
      <c r="E28" s="202">
        <f>Value!E28*L28</f>
        <v>0</v>
      </c>
      <c r="F28" s="206">
        <f t="shared" si="5"/>
        <v>0</v>
      </c>
      <c r="G28" s="206">
        <f>ROUND(F28*M28,-3)</f>
        <v>0</v>
      </c>
      <c r="H28" s="206"/>
      <c r="I28" s="206">
        <f>G28*10</f>
        <v>0</v>
      </c>
      <c r="J28" s="37"/>
      <c r="K28" s="78" t="str">
        <f t="shared" si="4"/>
        <v xml:space="preserve"> - Victorian Row/Univ. and/or Artist Studios</v>
      </c>
      <c r="L28" s="87">
        <v>0</v>
      </c>
      <c r="M28" s="86">
        <v>0.01</v>
      </c>
    </row>
    <row r="29" spans="1:13" ht="15.75" thickBot="1" x14ac:dyDescent="0.3">
      <c r="A29" s="237"/>
      <c r="B29" s="352" t="s">
        <v>46</v>
      </c>
      <c r="C29" s="287" t="str">
        <f>Costs!C29</f>
        <v>Total SF</v>
      </c>
      <c r="D29" s="406"/>
      <c r="E29" s="288"/>
      <c r="F29" s="407"/>
      <c r="G29" s="408"/>
      <c r="H29" s="409"/>
      <c r="I29" s="410"/>
      <c r="J29" s="37"/>
      <c r="K29" s="41" t="str">
        <f t="shared" si="4"/>
        <v>Amenities</v>
      </c>
      <c r="L29" s="39"/>
      <c r="M29" s="43" t="str">
        <f>M4</f>
        <v>Tax Rate</v>
      </c>
    </row>
    <row r="30" spans="1:13" x14ac:dyDescent="0.25">
      <c r="A30" s="237"/>
      <c r="B30" s="6" t="s">
        <v>47</v>
      </c>
      <c r="C30" s="208">
        <f>Costs!C30</f>
        <v>25000</v>
      </c>
      <c r="D30" s="205"/>
      <c r="E30" s="202">
        <v>0</v>
      </c>
      <c r="F30" s="206">
        <f t="shared" si="5"/>
        <v>0</v>
      </c>
      <c r="G30" s="206">
        <f>Costs!F30*M30*-1</f>
        <v>-24975</v>
      </c>
      <c r="H30" s="206"/>
      <c r="I30" s="206">
        <f>G30*10</f>
        <v>-249750</v>
      </c>
      <c r="J30" s="7"/>
      <c r="K30" s="75" t="s">
        <v>47</v>
      </c>
      <c r="L30" s="87"/>
      <c r="M30" s="86">
        <v>2.7E-2</v>
      </c>
    </row>
    <row r="31" spans="1:13" x14ac:dyDescent="0.25">
      <c r="A31" s="237"/>
      <c r="B31" s="6" t="s">
        <v>48</v>
      </c>
      <c r="C31" s="208">
        <f>Costs!C31</f>
        <v>10000</v>
      </c>
      <c r="D31" s="205"/>
      <c r="E31" s="202">
        <v>0</v>
      </c>
      <c r="F31" s="206">
        <f t="shared" si="5"/>
        <v>0</v>
      </c>
      <c r="G31" s="206">
        <f>Costs!F31*M31*-1</f>
        <v>-9750</v>
      </c>
      <c r="H31" s="206"/>
      <c r="I31" s="206">
        <f>G31*10</f>
        <v>-97500</v>
      </c>
      <c r="J31" s="37"/>
      <c r="K31" s="78" t="s">
        <v>48</v>
      </c>
      <c r="L31" s="87"/>
      <c r="M31" s="86">
        <v>2.5000000000000001E-2</v>
      </c>
    </row>
    <row r="32" spans="1:13" ht="15.75" thickBot="1" x14ac:dyDescent="0.3">
      <c r="A32" s="237"/>
      <c r="B32" s="6" t="s">
        <v>49</v>
      </c>
      <c r="C32" s="208">
        <f>Costs!C32</f>
        <v>10000</v>
      </c>
      <c r="D32" s="205"/>
      <c r="E32" s="202">
        <v>0</v>
      </c>
      <c r="F32" s="206">
        <f t="shared" si="5"/>
        <v>0</v>
      </c>
      <c r="G32" s="206">
        <f>Costs!F32*M32*-1</f>
        <v>-15000</v>
      </c>
      <c r="H32" s="206"/>
      <c r="I32" s="206">
        <f>G32*10</f>
        <v>-150000</v>
      </c>
      <c r="J32" s="37"/>
      <c r="K32" s="78" t="s">
        <v>49</v>
      </c>
      <c r="L32" s="87"/>
      <c r="M32" s="86">
        <v>2.5000000000000001E-2</v>
      </c>
    </row>
    <row r="33" spans="1:13" ht="15.75" thickBot="1" x14ac:dyDescent="0.3">
      <c r="A33" s="239"/>
      <c r="B33" s="352" t="s">
        <v>245</v>
      </c>
      <c r="C33" s="287">
        <f>Costs!C33</f>
        <v>0</v>
      </c>
      <c r="D33" s="406"/>
      <c r="E33" s="288"/>
      <c r="F33" s="407"/>
      <c r="G33" s="408"/>
      <c r="H33" s="409"/>
      <c r="I33" s="410"/>
      <c r="J33" s="37"/>
      <c r="K33" s="78"/>
      <c r="L33" s="84"/>
      <c r="M33" s="88"/>
    </row>
    <row r="34" spans="1:13" ht="15.75" thickBot="1" x14ac:dyDescent="0.3">
      <c r="A34" s="239"/>
      <c r="B34" s="6" t="str">
        <f>Value!B34</f>
        <v xml:space="preserve"> - Homeless Shelter Fund Fee</v>
      </c>
      <c r="C34" s="208">
        <v>0</v>
      </c>
      <c r="D34" s="209"/>
      <c r="E34" s="210">
        <v>0</v>
      </c>
      <c r="F34" s="206">
        <f t="shared" si="5"/>
        <v>0</v>
      </c>
      <c r="G34" s="211">
        <f>F34*0.01</f>
        <v>0</v>
      </c>
      <c r="H34" s="211"/>
      <c r="I34" s="211">
        <f>G34*10</f>
        <v>0</v>
      </c>
      <c r="J34" s="37"/>
      <c r="K34" s="78"/>
      <c r="L34" s="84"/>
      <c r="M34" s="88"/>
    </row>
    <row r="35" spans="1:13" ht="15.75" thickBot="1" x14ac:dyDescent="0.3">
      <c r="A35" s="239"/>
      <c r="B35" s="352" t="s">
        <v>50</v>
      </c>
      <c r="C35" s="287" t="str">
        <f>Costs!C35</f>
        <v>Total Spaces</v>
      </c>
      <c r="D35" s="406"/>
      <c r="E35" s="288"/>
      <c r="F35" s="407"/>
      <c r="G35" s="408"/>
      <c r="H35" s="409"/>
      <c r="I35" s="410"/>
      <c r="J35" s="37"/>
      <c r="K35" s="41" t="str">
        <f t="shared" ref="K35:K41" si="10">B35</f>
        <v>Parking</v>
      </c>
      <c r="L35" s="40" t="str">
        <f>L25</f>
        <v>Assessed Value Ratio</v>
      </c>
      <c r="M35" s="43" t="str">
        <f>M25</f>
        <v>Tax Rate</v>
      </c>
    </row>
    <row r="36" spans="1:13" x14ac:dyDescent="0.25">
      <c r="A36" s="239"/>
      <c r="B36" s="6" t="s">
        <v>231</v>
      </c>
      <c r="C36" s="204">
        <f>Costs!C36</f>
        <v>0</v>
      </c>
      <c r="D36" s="205"/>
      <c r="E36" s="202">
        <v>0</v>
      </c>
      <c r="F36" s="206">
        <f>ROUND(C36*E36,-3)</f>
        <v>0</v>
      </c>
      <c r="G36" s="206">
        <f>ROUND(F36*0.01,-3)</f>
        <v>0</v>
      </c>
      <c r="H36" s="206"/>
      <c r="I36" s="206">
        <f>G36*10</f>
        <v>0</v>
      </c>
      <c r="J36" s="37"/>
      <c r="K36" s="75" t="str">
        <f t="shared" si="10"/>
        <v xml:space="preserve"> - Residential Structured</v>
      </c>
      <c r="L36" s="87">
        <v>0</v>
      </c>
      <c r="M36" s="86">
        <v>0.01</v>
      </c>
    </row>
    <row r="37" spans="1:13" x14ac:dyDescent="0.25">
      <c r="A37" s="239"/>
      <c r="B37" s="6" t="s">
        <v>235</v>
      </c>
      <c r="C37" s="204">
        <f>Costs!C37</f>
        <v>0</v>
      </c>
      <c r="D37" s="205"/>
      <c r="E37" s="202">
        <v>0</v>
      </c>
      <c r="F37" s="206">
        <f t="shared" ref="F37:F41" si="11">ROUND(C37*E37,-3)</f>
        <v>0</v>
      </c>
      <c r="G37" s="206">
        <f t="shared" ref="G37:G41" si="12">ROUND(F37*0.01,-3)</f>
        <v>0</v>
      </c>
      <c r="H37" s="206"/>
      <c r="I37" s="206">
        <f t="shared" ref="I37:I41" si="13">G37*10</f>
        <v>0</v>
      </c>
      <c r="J37" s="37"/>
      <c r="K37" s="75" t="str">
        <f t="shared" si="10"/>
        <v xml:space="preserve"> - Neighborhood Retail Surface Parking</v>
      </c>
      <c r="L37" s="87">
        <v>0</v>
      </c>
      <c r="M37" s="86">
        <v>0.01</v>
      </c>
    </row>
    <row r="38" spans="1:13" x14ac:dyDescent="0.25">
      <c r="A38" s="239"/>
      <c r="B38" s="6" t="s">
        <v>229</v>
      </c>
      <c r="C38" s="204">
        <f>Costs!C38</f>
        <v>0</v>
      </c>
      <c r="D38" s="205"/>
      <c r="E38" s="202">
        <v>0</v>
      </c>
      <c r="F38" s="206">
        <f t="shared" si="11"/>
        <v>0</v>
      </c>
      <c r="G38" s="206">
        <f t="shared" si="12"/>
        <v>0</v>
      </c>
      <c r="H38" s="206"/>
      <c r="I38" s="206">
        <f t="shared" si="13"/>
        <v>0</v>
      </c>
      <c r="J38" s="37"/>
      <c r="K38" s="78" t="str">
        <f t="shared" si="10"/>
        <v xml:space="preserve"> - Office Low-Rise Structured Parking (3 levels)</v>
      </c>
      <c r="L38" s="87">
        <v>0</v>
      </c>
      <c r="M38" s="86">
        <v>0.01</v>
      </c>
    </row>
    <row r="39" spans="1:13" x14ac:dyDescent="0.25">
      <c r="A39" s="239"/>
      <c r="B39" s="6" t="s">
        <v>230</v>
      </c>
      <c r="C39" s="204">
        <f>Costs!C39</f>
        <v>0</v>
      </c>
      <c r="D39" s="205"/>
      <c r="E39" s="202">
        <v>0</v>
      </c>
      <c r="F39" s="206">
        <f t="shared" si="11"/>
        <v>0</v>
      </c>
      <c r="G39" s="206">
        <f t="shared" si="12"/>
        <v>0</v>
      </c>
      <c r="H39" s="206"/>
      <c r="I39" s="206">
        <f t="shared" si="13"/>
        <v>0</v>
      </c>
      <c r="J39" s="37"/>
      <c r="K39" s="78" t="str">
        <f t="shared" si="10"/>
        <v xml:space="preserve"> - Office Mid-Rise Office Structured Parking (5 levels)</v>
      </c>
      <c r="L39" s="87">
        <v>0</v>
      </c>
      <c r="M39" s="86">
        <v>0.01</v>
      </c>
    </row>
    <row r="40" spans="1:13" x14ac:dyDescent="0.25">
      <c r="A40" s="239"/>
      <c r="B40" s="6" t="s">
        <v>247</v>
      </c>
      <c r="C40" s="204">
        <f>Costs!C40</f>
        <v>160</v>
      </c>
      <c r="D40" s="205"/>
      <c r="E40" s="202">
        <v>0</v>
      </c>
      <c r="F40" s="206">
        <f t="shared" si="11"/>
        <v>0</v>
      </c>
      <c r="G40" s="206">
        <f t="shared" si="12"/>
        <v>0</v>
      </c>
      <c r="H40" s="206"/>
      <c r="I40" s="206">
        <f t="shared" si="13"/>
        <v>0</v>
      </c>
      <c r="J40" s="37"/>
      <c r="K40" s="78" t="str">
        <f t="shared" si="10"/>
        <v xml:space="preserve"> - Grocery/Drug Parking</v>
      </c>
      <c r="L40" s="87">
        <v>0</v>
      </c>
      <c r="M40" s="86">
        <v>0.01</v>
      </c>
    </row>
    <row r="41" spans="1:13" ht="15.75" thickBot="1" x14ac:dyDescent="0.3">
      <c r="A41" s="239"/>
      <c r="B41" s="6" t="s">
        <v>54</v>
      </c>
      <c r="C41" s="204">
        <f>Costs!C41</f>
        <v>0</v>
      </c>
      <c r="D41" s="205"/>
      <c r="E41" s="202">
        <v>0</v>
      </c>
      <c r="F41" s="206">
        <f t="shared" si="11"/>
        <v>0</v>
      </c>
      <c r="G41" s="206">
        <f t="shared" si="12"/>
        <v>0</v>
      </c>
      <c r="H41" s="206"/>
      <c r="I41" s="206">
        <f t="shared" si="13"/>
        <v>0</v>
      </c>
      <c r="J41" s="37"/>
      <c r="K41" s="82" t="str">
        <f t="shared" si="10"/>
        <v xml:space="preserve"> - Qmart Structured Parking</v>
      </c>
      <c r="L41" s="89">
        <v>0</v>
      </c>
      <c r="M41" s="90">
        <v>0.01</v>
      </c>
    </row>
    <row r="42" spans="1:13" ht="15.75" thickBot="1" x14ac:dyDescent="0.3">
      <c r="A42" s="239"/>
      <c r="B42" s="352" t="s">
        <v>109</v>
      </c>
      <c r="C42" s="212"/>
      <c r="D42" s="213"/>
      <c r="E42" s="214"/>
      <c r="F42" s="215">
        <f>SUM(F5:F41)</f>
        <v>15393000</v>
      </c>
      <c r="G42" s="216"/>
      <c r="H42" s="217"/>
      <c r="I42" s="218"/>
      <c r="J42" s="37"/>
    </row>
    <row r="43" spans="1:13" x14ac:dyDescent="0.25">
      <c r="A43" s="349"/>
      <c r="B43" s="2" t="s">
        <v>110</v>
      </c>
      <c r="C43" s="222"/>
      <c r="D43" s="219"/>
      <c r="E43" s="220"/>
      <c r="F43" s="221"/>
      <c r="G43" s="221">
        <f>SUM(G5:G42)</f>
        <v>68275</v>
      </c>
      <c r="I43" s="206">
        <f>SUM(I5:I42)</f>
        <v>600250</v>
      </c>
      <c r="J43" s="7"/>
    </row>
    <row r="44" spans="1:13" x14ac:dyDescent="0.25">
      <c r="A44" s="349"/>
      <c r="B44" s="6"/>
      <c r="C44" s="20"/>
      <c r="D44" s="20"/>
      <c r="E44" s="21"/>
      <c r="F44" s="159" t="s">
        <v>111</v>
      </c>
      <c r="G44" s="24"/>
      <c r="H44" s="24"/>
      <c r="I44" s="221">
        <f>Value!I42</f>
        <v>7500000</v>
      </c>
      <c r="J44" s="7"/>
    </row>
    <row r="45" spans="1:13" x14ac:dyDescent="0.25">
      <c r="A45" s="349"/>
      <c r="B45" s="4"/>
      <c r="C45" s="20"/>
      <c r="D45" s="20"/>
      <c r="E45" s="21"/>
      <c r="F45" s="159" t="s">
        <v>112</v>
      </c>
      <c r="G45" s="25"/>
      <c r="H45" s="25"/>
      <c r="I45" s="221">
        <f>SUM(I43:I44)</f>
        <v>8100250</v>
      </c>
      <c r="J45" s="7"/>
    </row>
    <row r="46" spans="1:13" x14ac:dyDescent="0.25">
      <c r="A46" s="349"/>
      <c r="B46" s="4"/>
      <c r="C46" s="20"/>
      <c r="D46" s="20"/>
      <c r="E46" s="21"/>
      <c r="F46" s="159" t="s">
        <v>207</v>
      </c>
      <c r="G46" s="25"/>
      <c r="H46" s="25"/>
      <c r="I46" s="206">
        <f>Costs!J42*-1</f>
        <v>-10000000</v>
      </c>
      <c r="J46" s="7"/>
    </row>
    <row r="47" spans="1:13" ht="15.75" thickBot="1" x14ac:dyDescent="0.3">
      <c r="A47" s="349"/>
      <c r="B47" s="4"/>
      <c r="C47" s="20"/>
      <c r="D47" s="20"/>
      <c r="E47" s="21"/>
      <c r="F47" s="159" t="s">
        <v>113</v>
      </c>
      <c r="G47" s="25"/>
      <c r="H47" s="25"/>
      <c r="I47" s="206">
        <f>(Costs!J43-Costs!J42)*-1</f>
        <v>-981000</v>
      </c>
      <c r="J47" s="7"/>
    </row>
    <row r="48" spans="1:13" ht="15.75" thickBot="1" x14ac:dyDescent="0.3">
      <c r="A48" s="349"/>
      <c r="B48" s="4"/>
      <c r="C48" s="20"/>
      <c r="D48" s="20"/>
      <c r="E48" s="21"/>
      <c r="F48" s="160" t="s">
        <v>114</v>
      </c>
      <c r="G48" s="25"/>
      <c r="H48" s="25"/>
      <c r="I48" s="60">
        <f>I45+SUM(I46:I47)</f>
        <v>-2880750</v>
      </c>
      <c r="J48" s="7"/>
    </row>
    <row r="49" spans="1:1" x14ac:dyDescent="0.25">
      <c r="A49" s="349"/>
    </row>
  </sheetData>
  <sheetProtection sheet="1" objects="1" scenarios="1"/>
  <printOptions horizontalCentered="1"/>
  <pageMargins left="0.25" right="0.25" top="0.5" bottom="0.5" header="0.3" footer="0.3"/>
  <pageSetup scale="74"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Instructions</vt:lpstr>
      <vt:lpstr>Input Summary</vt:lpstr>
      <vt:lpstr>Development by Block</vt:lpstr>
      <vt:lpstr>Use Allocation</vt:lpstr>
      <vt:lpstr>Costs</vt:lpstr>
      <vt:lpstr>Jobs</vt:lpstr>
      <vt:lpstr>Market</vt:lpstr>
      <vt:lpstr>Value</vt:lpstr>
      <vt:lpstr>City Revenue</vt:lpstr>
      <vt:lpstr>Summary</vt:lpstr>
      <vt:lpstr>'City Revenue'!Print_Area</vt:lpstr>
      <vt:lpstr>Costs!Print_Area</vt:lpstr>
      <vt:lpstr>'Input Summary'!Print_Area</vt:lpstr>
      <vt:lpstr>Market!Print_Area</vt:lpstr>
      <vt:lpstr>Summary!Print_Area</vt:lpstr>
      <vt:lpstr>'Use Allocation'!Print_Area</vt:lpstr>
      <vt:lpstr>Value!Print_Area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Windows User</cp:lastModifiedBy>
  <cp:lastPrinted>2013-05-16T22:57:56Z</cp:lastPrinted>
  <dcterms:created xsi:type="dcterms:W3CDTF">2012-08-12T22:13:14Z</dcterms:created>
  <dcterms:modified xsi:type="dcterms:W3CDTF">2016-02-08T18:55:08Z</dcterms:modified>
</cp:coreProperties>
</file>